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 checkCompatibility="1"/>
  <mc:AlternateContent xmlns:mc="http://schemas.openxmlformats.org/markup-compatibility/2006">
    <mc:Choice Requires="x15">
      <x15ac:absPath xmlns:x15ac="http://schemas.microsoft.com/office/spreadsheetml/2010/11/ac" url="/Users/matthewkemshaw/Downloads/"/>
    </mc:Choice>
  </mc:AlternateContent>
  <xr:revisionPtr revIDLastSave="0" documentId="8_{A9C9A6AA-EA34-7B41-9DA3-3AD81D96A223}" xr6:coauthVersionLast="47" xr6:coauthVersionMax="47" xr10:uidLastSave="{00000000-0000-0000-0000-000000000000}"/>
  <bookViews>
    <workbookView xWindow="32680" yWindow="500" windowWidth="23800" windowHeight="17500" activeTab="2" xr2:uid="{00000000-000D-0000-FFFF-FFFF00000000}"/>
  </bookViews>
  <sheets>
    <sheet name="Control Panel" sheetId="8" r:id="rId1"/>
    <sheet name="Annual Budget" sheetId="2" r:id="rId2"/>
    <sheet name="Presentation Budget" sheetId="7" r:id="rId3"/>
    <sheet name="Q1 Report" sheetId="3" r:id="rId4"/>
    <sheet name="Q2 Report" sheetId="4" r:id="rId5"/>
    <sheet name="Q3 Report" sheetId="5" r:id="rId6"/>
    <sheet name="Q4 Report" sheetId="6" r:id="rId7"/>
  </sheets>
  <definedNames>
    <definedName name="_xlnm.Print_Area" localSheetId="1">'Annual Budget'!$A:$H</definedName>
    <definedName name="_xlnm.Print_Area" localSheetId="2">'Presentation Budget'!$A$1:$I$32</definedName>
    <definedName name="_xlnm.Print_Area" localSheetId="3">'Q1 Report'!$A$1:$H$32</definedName>
    <definedName name="_xlnm.Print_Area" localSheetId="4">'Q2 Report'!$A$1:$H$33</definedName>
    <definedName name="_xlnm.Print_Area" localSheetId="5">'Q3 Report'!$A$1:$H$33</definedName>
    <definedName name="_xlnm.Print_Area" localSheetId="6">'Q4 Report'!$A$1:$H$33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8" i="2" l="1"/>
  <c r="E88" i="2" s="1"/>
  <c r="E89" i="2"/>
  <c r="F89" i="2"/>
  <c r="E82" i="2"/>
  <c r="E83" i="2"/>
  <c r="F83" i="2" s="1"/>
  <c r="E84" i="2"/>
  <c r="F84" i="2" s="1"/>
  <c r="E85" i="2"/>
  <c r="F85" i="2" s="1"/>
  <c r="D86" i="2"/>
  <c r="D94" i="2"/>
  <c r="E94" i="2"/>
  <c r="G45" i="2" s="1"/>
  <c r="F94" i="2"/>
  <c r="G44" i="2" s="1"/>
  <c r="G47" i="2" s="1"/>
  <c r="G23" i="7" s="1"/>
  <c r="E92" i="2"/>
  <c r="F45" i="2" s="1"/>
  <c r="D76" i="2"/>
  <c r="D77" i="2"/>
  <c r="D78" i="2"/>
  <c r="D79" i="2"/>
  <c r="D80" i="2"/>
  <c r="G7" i="2"/>
  <c r="G6" i="7" s="1"/>
  <c r="F7" i="2"/>
  <c r="F6" i="7" s="1"/>
  <c r="F17" i="2"/>
  <c r="F20" i="2"/>
  <c r="F22" i="2"/>
  <c r="F26" i="2"/>
  <c r="F24" i="2"/>
  <c r="F11" i="2"/>
  <c r="F8" i="7" s="1"/>
  <c r="F27" i="2"/>
  <c r="F14" i="7" s="1"/>
  <c r="G9" i="2"/>
  <c r="G7" i="7" s="1"/>
  <c r="G17" i="2"/>
  <c r="G26" i="2"/>
  <c r="G20" i="2"/>
  <c r="G24" i="2"/>
  <c r="G12" i="7" s="1"/>
  <c r="G11" i="2"/>
  <c r="G8" i="7" s="1"/>
  <c r="G22" i="2"/>
  <c r="G11" i="7" s="1"/>
  <c r="E5" i="7"/>
  <c r="E17" i="7"/>
  <c r="D5" i="7"/>
  <c r="D17" i="7"/>
  <c r="D22" i="2"/>
  <c r="E22" i="2"/>
  <c r="E11" i="7" s="1"/>
  <c r="B9" i="6"/>
  <c r="B12" i="6"/>
  <c r="B9" i="5"/>
  <c r="B12" i="5"/>
  <c r="B9" i="4"/>
  <c r="B12" i="4"/>
  <c r="D9" i="2"/>
  <c r="E9" i="2"/>
  <c r="B9" i="3"/>
  <c r="B12" i="3"/>
  <c r="F11" i="7"/>
  <c r="E11" i="2"/>
  <c r="E8" i="7"/>
  <c r="D11" i="2"/>
  <c r="D7" i="7"/>
  <c r="H21" i="2"/>
  <c r="E7" i="2"/>
  <c r="E17" i="2"/>
  <c r="E20" i="2"/>
  <c r="E26" i="2"/>
  <c r="E13" i="7" s="1"/>
  <c r="E24" i="2"/>
  <c r="E12" i="7" s="1"/>
  <c r="H10" i="2"/>
  <c r="A3" i="3"/>
  <c r="A3" i="4"/>
  <c r="A3" i="5"/>
  <c r="A3" i="6"/>
  <c r="D30" i="6"/>
  <c r="B29" i="6"/>
  <c r="B22" i="6"/>
  <c r="B28" i="6"/>
  <c r="B27" i="6"/>
  <c r="B26" i="6"/>
  <c r="B25" i="6"/>
  <c r="B24" i="6"/>
  <c r="B23" i="6"/>
  <c r="B21" i="6"/>
  <c r="B20" i="6"/>
  <c r="B19" i="6"/>
  <c r="B18" i="6"/>
  <c r="D15" i="6"/>
  <c r="B14" i="6"/>
  <c r="B13" i="6"/>
  <c r="B11" i="6"/>
  <c r="B10" i="6"/>
  <c r="B8" i="6"/>
  <c r="B7" i="6"/>
  <c r="H5" i="6"/>
  <c r="D30" i="5"/>
  <c r="B29" i="5"/>
  <c r="B22" i="5"/>
  <c r="B28" i="5"/>
  <c r="B27" i="5"/>
  <c r="B26" i="5"/>
  <c r="B25" i="5"/>
  <c r="B24" i="5"/>
  <c r="B23" i="5"/>
  <c r="B21" i="5"/>
  <c r="B20" i="5"/>
  <c r="B19" i="5"/>
  <c r="B18" i="5"/>
  <c r="D15" i="5"/>
  <c r="B14" i="5"/>
  <c r="B13" i="5"/>
  <c r="B11" i="5"/>
  <c r="B10" i="5"/>
  <c r="B8" i="5"/>
  <c r="B7" i="5"/>
  <c r="H5" i="5"/>
  <c r="D30" i="4"/>
  <c r="D32" i="4" s="1"/>
  <c r="B29" i="4"/>
  <c r="B22" i="4"/>
  <c r="B28" i="4"/>
  <c r="B27" i="4"/>
  <c r="B26" i="4"/>
  <c r="B25" i="4"/>
  <c r="B24" i="4"/>
  <c r="B23" i="4"/>
  <c r="B21" i="4"/>
  <c r="B20" i="4"/>
  <c r="B19" i="4"/>
  <c r="B18" i="4"/>
  <c r="D15" i="4"/>
  <c r="B14" i="4"/>
  <c r="B13" i="4"/>
  <c r="B11" i="4"/>
  <c r="B10" i="4"/>
  <c r="B8" i="4"/>
  <c r="B7" i="4"/>
  <c r="H5" i="4"/>
  <c r="D15" i="3"/>
  <c r="B19" i="3"/>
  <c r="B20" i="3"/>
  <c r="B21" i="3"/>
  <c r="B23" i="3"/>
  <c r="B24" i="3"/>
  <c r="B25" i="3"/>
  <c r="B26" i="3"/>
  <c r="B27" i="3"/>
  <c r="B28" i="3"/>
  <c r="B22" i="3"/>
  <c r="B29" i="3"/>
  <c r="B18" i="3"/>
  <c r="B14" i="3"/>
  <c r="B8" i="3"/>
  <c r="B10" i="3"/>
  <c r="B11" i="3"/>
  <c r="B13" i="3"/>
  <c r="B7" i="3"/>
  <c r="H17" i="7"/>
  <c r="H25" i="2"/>
  <c r="H61" i="2"/>
  <c r="H62" i="2"/>
  <c r="H63" i="2"/>
  <c r="H64" i="2"/>
  <c r="E65" i="2"/>
  <c r="E28" i="7" s="1"/>
  <c r="F65" i="2"/>
  <c r="F28" i="7"/>
  <c r="G65" i="2"/>
  <c r="G28" i="7" s="1"/>
  <c r="D65" i="2"/>
  <c r="E43" i="2"/>
  <c r="E22" i="7" s="1"/>
  <c r="F43" i="2"/>
  <c r="F22" i="7"/>
  <c r="G43" i="2"/>
  <c r="G22" i="7"/>
  <c r="D43" i="2"/>
  <c r="D22" i="7" s="1"/>
  <c r="H42" i="2"/>
  <c r="E29" i="2"/>
  <c r="D29" i="2"/>
  <c r="E70" i="2"/>
  <c r="E29" i="7"/>
  <c r="F70" i="2"/>
  <c r="F29" i="7"/>
  <c r="G70" i="2"/>
  <c r="G29" i="7" s="1"/>
  <c r="D70" i="2"/>
  <c r="E6" i="7"/>
  <c r="D7" i="2"/>
  <c r="D6" i="7" s="1"/>
  <c r="H6" i="2"/>
  <c r="H23" i="2"/>
  <c r="H13" i="2"/>
  <c r="H14" i="2"/>
  <c r="H15" i="2"/>
  <c r="H16" i="2"/>
  <c r="E9" i="7"/>
  <c r="F9" i="7"/>
  <c r="G9" i="7"/>
  <c r="D17" i="2"/>
  <c r="F13" i="7"/>
  <c r="G13" i="7"/>
  <c r="D26" i="2"/>
  <c r="D13" i="7" s="1"/>
  <c r="H8" i="2"/>
  <c r="H37" i="2"/>
  <c r="E38" i="2"/>
  <c r="F38" i="2"/>
  <c r="F20" i="7" s="1"/>
  <c r="G38" i="2"/>
  <c r="G20" i="7"/>
  <c r="D38" i="2"/>
  <c r="D20" i="7"/>
  <c r="D20" i="2"/>
  <c r="D9" i="7"/>
  <c r="D24" i="2"/>
  <c r="D10" i="7"/>
  <c r="H20" i="2"/>
  <c r="H10" i="7" s="1"/>
  <c r="H11" i="6" s="1"/>
  <c r="E11" i="6" s="1"/>
  <c r="F11" i="6" s="1"/>
  <c r="F10" i="7"/>
  <c r="G10" i="7"/>
  <c r="A3" i="2"/>
  <c r="A3" i="7" s="1"/>
  <c r="H5" i="3"/>
  <c r="A2" i="2"/>
  <c r="A2" i="7" s="1"/>
  <c r="D41" i="2"/>
  <c r="D21" i="7" s="1"/>
  <c r="D58" i="2"/>
  <c r="D26" i="7"/>
  <c r="D60" i="2"/>
  <c r="D27" i="7"/>
  <c r="D55" i="2"/>
  <c r="D25" i="7" s="1"/>
  <c r="D49" i="2"/>
  <c r="D24" i="7"/>
  <c r="D33" i="2"/>
  <c r="D19" i="7" s="1"/>
  <c r="D31" i="2"/>
  <c r="D18" i="7"/>
  <c r="H40" i="2"/>
  <c r="H39" i="2"/>
  <c r="H69" i="2"/>
  <c r="H68" i="2"/>
  <c r="H67" i="2"/>
  <c r="H57" i="2"/>
  <c r="H56" i="2"/>
  <c r="H59" i="2"/>
  <c r="H54" i="2"/>
  <c r="H53" i="2"/>
  <c r="H51" i="2"/>
  <c r="H50" i="2"/>
  <c r="H48" i="2"/>
  <c r="H66" i="2"/>
  <c r="H46" i="2"/>
  <c r="H36" i="2"/>
  <c r="H35" i="2"/>
  <c r="H34" i="2"/>
  <c r="H32" i="2"/>
  <c r="H30" i="2"/>
  <c r="H18" i="2"/>
  <c r="H12" i="2"/>
  <c r="H19" i="2"/>
  <c r="H11" i="4"/>
  <c r="E11" i="4" s="1"/>
  <c r="F11" i="4" s="1"/>
  <c r="D30" i="3"/>
  <c r="D32" i="3" s="1"/>
  <c r="E41" i="2"/>
  <c r="F41" i="2"/>
  <c r="F21" i="7" s="1"/>
  <c r="G41" i="2"/>
  <c r="E58" i="2"/>
  <c r="F58" i="2"/>
  <c r="F26" i="7"/>
  <c r="G58" i="2"/>
  <c r="G26" i="7"/>
  <c r="E60" i="2"/>
  <c r="E27" i="7"/>
  <c r="F60" i="2"/>
  <c r="F27" i="7"/>
  <c r="G60" i="2"/>
  <c r="E55" i="2"/>
  <c r="E25" i="7" s="1"/>
  <c r="F55" i="2"/>
  <c r="F25" i="7"/>
  <c r="G55" i="2"/>
  <c r="G25" i="7"/>
  <c r="E49" i="2"/>
  <c r="E24" i="7"/>
  <c r="F49" i="2"/>
  <c r="F24" i="7"/>
  <c r="G49" i="2"/>
  <c r="E33" i="2"/>
  <c r="E19" i="7"/>
  <c r="F33" i="2"/>
  <c r="F19" i="7" s="1"/>
  <c r="G33" i="2"/>
  <c r="G19" i="7" s="1"/>
  <c r="E31" i="2"/>
  <c r="E18" i="7" s="1"/>
  <c r="F31" i="2"/>
  <c r="F18" i="7" s="1"/>
  <c r="G31" i="2"/>
  <c r="G18" i="7" s="1"/>
  <c r="E7" i="7"/>
  <c r="F7" i="7"/>
  <c r="F12" i="7"/>
  <c r="G21" i="7"/>
  <c r="E21" i="7"/>
  <c r="F29" i="2"/>
  <c r="F5" i="7"/>
  <c r="F17" i="7"/>
  <c r="G29" i="2"/>
  <c r="G5" i="7"/>
  <c r="G17" i="7" s="1"/>
  <c r="G27" i="2" l="1"/>
  <c r="G14" i="7" s="1"/>
  <c r="H26" i="2"/>
  <c r="H13" i="7" s="1"/>
  <c r="H11" i="3"/>
  <c r="E11" i="3" s="1"/>
  <c r="F11" i="3" s="1"/>
  <c r="G11" i="6"/>
  <c r="H9" i="2"/>
  <c r="H7" i="7" s="1"/>
  <c r="H8" i="5" s="1"/>
  <c r="E8" i="5" s="1"/>
  <c r="F8" i="5" s="1"/>
  <c r="E90" i="2"/>
  <c r="E45" i="2" s="1"/>
  <c r="G11" i="4"/>
  <c r="H41" i="2"/>
  <c r="H21" i="7" s="1"/>
  <c r="H21" i="5" s="1"/>
  <c r="E21" i="5" s="1"/>
  <c r="F92" i="2"/>
  <c r="F44" i="2" s="1"/>
  <c r="F47" i="2" s="1"/>
  <c r="F23" i="7" s="1"/>
  <c r="D32" i="5"/>
  <c r="D32" i="6"/>
  <c r="H58" i="2"/>
  <c r="H26" i="7" s="1"/>
  <c r="E26" i="7"/>
  <c r="H21" i="4"/>
  <c r="E21" i="4" s="1"/>
  <c r="H21" i="6"/>
  <c r="E21" i="6" s="1"/>
  <c r="H21" i="3"/>
  <c r="E21" i="3" s="1"/>
  <c r="H49" i="2"/>
  <c r="H24" i="7" s="1"/>
  <c r="G24" i="7"/>
  <c r="E20" i="7"/>
  <c r="H38" i="2"/>
  <c r="H20" i="7" s="1"/>
  <c r="D28" i="7"/>
  <c r="H65" i="2"/>
  <c r="H28" i="7" s="1"/>
  <c r="H31" i="2"/>
  <c r="H18" i="7" s="1"/>
  <c r="G71" i="2"/>
  <c r="H24" i="2"/>
  <c r="H12" i="7" s="1"/>
  <c r="D12" i="7"/>
  <c r="D27" i="2"/>
  <c r="G11" i="3"/>
  <c r="H60" i="2"/>
  <c r="H27" i="7" s="1"/>
  <c r="G27" i="7"/>
  <c r="H70" i="2"/>
  <c r="H29" i="7" s="1"/>
  <c r="D29" i="7"/>
  <c r="H33" i="2"/>
  <c r="H19" i="7" s="1"/>
  <c r="H17" i="2"/>
  <c r="H9" i="7" s="1"/>
  <c r="D11" i="7"/>
  <c r="H22" i="2"/>
  <c r="H11" i="7" s="1"/>
  <c r="F88" i="2"/>
  <c r="F90" i="2" s="1"/>
  <c r="E44" i="2" s="1"/>
  <c r="E47" i="2" s="1"/>
  <c r="D90" i="2"/>
  <c r="D8" i="7"/>
  <c r="H11" i="2"/>
  <c r="H8" i="7" s="1"/>
  <c r="H11" i="5"/>
  <c r="E11" i="5" s="1"/>
  <c r="H55" i="2"/>
  <c r="H25" i="7" s="1"/>
  <c r="H43" i="2"/>
  <c r="H22" i="7" s="1"/>
  <c r="H14" i="6"/>
  <c r="E14" i="6" s="1"/>
  <c r="H14" i="5"/>
  <c r="E14" i="5" s="1"/>
  <c r="E86" i="2"/>
  <c r="D45" i="2" s="1"/>
  <c r="H45" i="2" s="1"/>
  <c r="F82" i="2"/>
  <c r="F86" i="2" s="1"/>
  <c r="D44" i="2" s="1"/>
  <c r="H7" i="2"/>
  <c r="H6" i="7" s="1"/>
  <c r="E27" i="2"/>
  <c r="E10" i="7"/>
  <c r="H8" i="4" l="1"/>
  <c r="E8" i="4" s="1"/>
  <c r="G8" i="5"/>
  <c r="H14" i="4"/>
  <c r="E14" i="4" s="1"/>
  <c r="H14" i="3"/>
  <c r="E14" i="3" s="1"/>
  <c r="H8" i="3"/>
  <c r="E8" i="3" s="1"/>
  <c r="G8" i="3" s="1"/>
  <c r="H8" i="6"/>
  <c r="E8" i="6" s="1"/>
  <c r="F8" i="6" s="1"/>
  <c r="F71" i="2"/>
  <c r="G11" i="5"/>
  <c r="F11" i="5"/>
  <c r="H29" i="3"/>
  <c r="E29" i="3" s="1"/>
  <c r="H29" i="5"/>
  <c r="E29" i="5" s="1"/>
  <c r="H29" i="4"/>
  <c r="E29" i="4" s="1"/>
  <c r="H29" i="6"/>
  <c r="E29" i="6" s="1"/>
  <c r="F21" i="5"/>
  <c r="G21" i="5"/>
  <c r="G21" i="6"/>
  <c r="F21" i="6"/>
  <c r="H25" i="4"/>
  <c r="E25" i="4" s="1"/>
  <c r="H25" i="5"/>
  <c r="E25" i="5" s="1"/>
  <c r="H25" i="3"/>
  <c r="E25" i="3" s="1"/>
  <c r="H25" i="6"/>
  <c r="E25" i="6" s="1"/>
  <c r="H27" i="4"/>
  <c r="E27" i="4" s="1"/>
  <c r="H27" i="6"/>
  <c r="E27" i="6" s="1"/>
  <c r="H27" i="3"/>
  <c r="E27" i="3" s="1"/>
  <c r="H27" i="5"/>
  <c r="E27" i="5" s="1"/>
  <c r="H24" i="4"/>
  <c r="E24" i="4" s="1"/>
  <c r="I24" i="7"/>
  <c r="H24" i="6"/>
  <c r="E24" i="6" s="1"/>
  <c r="H24" i="5"/>
  <c r="E24" i="5" s="1"/>
  <c r="H24" i="3"/>
  <c r="E24" i="3" s="1"/>
  <c r="D14" i="7"/>
  <c r="H27" i="2"/>
  <c r="H14" i="7" s="1"/>
  <c r="I25" i="7" s="1"/>
  <c r="G21" i="3"/>
  <c r="F21" i="3"/>
  <c r="H13" i="4"/>
  <c r="E13" i="4" s="1"/>
  <c r="H13" i="6"/>
  <c r="E13" i="6" s="1"/>
  <c r="H13" i="5"/>
  <c r="E13" i="5" s="1"/>
  <c r="H13" i="3"/>
  <c r="E13" i="3" s="1"/>
  <c r="E23" i="7"/>
  <c r="E71" i="2"/>
  <c r="E30" i="7" s="1"/>
  <c r="H19" i="6"/>
  <c r="E19" i="6" s="1"/>
  <c r="H19" i="5"/>
  <c r="E19" i="5" s="1"/>
  <c r="H19" i="4"/>
  <c r="E19" i="4" s="1"/>
  <c r="H19" i="3"/>
  <c r="E19" i="3" s="1"/>
  <c r="H20" i="6"/>
  <c r="E20" i="6" s="1"/>
  <c r="H20" i="3"/>
  <c r="E20" i="3" s="1"/>
  <c r="H20" i="4"/>
  <c r="E20" i="4" s="1"/>
  <c r="I20" i="7"/>
  <c r="H20" i="5"/>
  <c r="E20" i="5" s="1"/>
  <c r="H9" i="6"/>
  <c r="E9" i="6" s="1"/>
  <c r="H9" i="4"/>
  <c r="E9" i="4" s="1"/>
  <c r="H9" i="3"/>
  <c r="E9" i="3" s="1"/>
  <c r="I8" i="7"/>
  <c r="H9" i="5"/>
  <c r="E9" i="5" s="1"/>
  <c r="E14" i="7"/>
  <c r="E15" i="7" s="1"/>
  <c r="E73" i="2"/>
  <c r="E32" i="7" s="1"/>
  <c r="H7" i="3"/>
  <c r="E7" i="3" s="1"/>
  <c r="H7" i="5"/>
  <c r="E7" i="5" s="1"/>
  <c r="H7" i="6"/>
  <c r="E7" i="6" s="1"/>
  <c r="H7" i="4"/>
  <c r="E7" i="4" s="1"/>
  <c r="G14" i="6"/>
  <c r="F14" i="6"/>
  <c r="G8" i="4"/>
  <c r="F8" i="4"/>
  <c r="G30" i="7"/>
  <c r="G73" i="2"/>
  <c r="G32" i="7" s="1"/>
  <c r="H18" i="5"/>
  <c r="E18" i="5" s="1"/>
  <c r="H18" i="4"/>
  <c r="E18" i="4" s="1"/>
  <c r="I18" i="7"/>
  <c r="H18" i="6"/>
  <c r="E18" i="6" s="1"/>
  <c r="H18" i="3"/>
  <c r="E18" i="3" s="1"/>
  <c r="H10" i="3"/>
  <c r="E10" i="3" s="1"/>
  <c r="H10" i="6"/>
  <c r="E10" i="6" s="1"/>
  <c r="H10" i="4"/>
  <c r="E10" i="4" s="1"/>
  <c r="H10" i="5"/>
  <c r="E10" i="5" s="1"/>
  <c r="I9" i="7"/>
  <c r="H28" i="5"/>
  <c r="E28" i="5" s="1"/>
  <c r="H28" i="4"/>
  <c r="E28" i="4" s="1"/>
  <c r="H28" i="3"/>
  <c r="E28" i="3" s="1"/>
  <c r="H28" i="6"/>
  <c r="E28" i="6" s="1"/>
  <c r="D47" i="2"/>
  <c r="H44" i="2"/>
  <c r="G21" i="4"/>
  <c r="F21" i="4"/>
  <c r="G14" i="5"/>
  <c r="F14" i="5"/>
  <c r="H22" i="3"/>
  <c r="E22" i="3" s="1"/>
  <c r="H22" i="5"/>
  <c r="E22" i="5" s="1"/>
  <c r="H22" i="4"/>
  <c r="E22" i="4" s="1"/>
  <c r="H22" i="6"/>
  <c r="E22" i="6" s="1"/>
  <c r="I22" i="7"/>
  <c r="H12" i="6"/>
  <c r="E12" i="6" s="1"/>
  <c r="H12" i="4"/>
  <c r="E12" i="4" s="1"/>
  <c r="H12" i="3"/>
  <c r="E12" i="3" s="1"/>
  <c r="I11" i="7"/>
  <c r="H12" i="5"/>
  <c r="E12" i="5" s="1"/>
  <c r="H26" i="4"/>
  <c r="E26" i="4" s="1"/>
  <c r="H26" i="3"/>
  <c r="E26" i="3" s="1"/>
  <c r="H26" i="6"/>
  <c r="E26" i="6" s="1"/>
  <c r="H26" i="5"/>
  <c r="E26" i="5" s="1"/>
  <c r="I26" i="7"/>
  <c r="G8" i="6" l="1"/>
  <c r="F8" i="3"/>
  <c r="I29" i="7"/>
  <c r="F30" i="7"/>
  <c r="F73" i="2"/>
  <c r="F32" i="7" s="1"/>
  <c r="I12" i="7"/>
  <c r="D15" i="7"/>
  <c r="F14" i="3"/>
  <c r="G14" i="3"/>
  <c r="I28" i="7"/>
  <c r="I6" i="7"/>
  <c r="I19" i="7"/>
  <c r="G14" i="4"/>
  <c r="F14" i="4"/>
  <c r="F26" i="6"/>
  <c r="G26" i="6"/>
  <c r="F12" i="4"/>
  <c r="G12" i="4"/>
  <c r="F28" i="4"/>
  <c r="G28" i="4"/>
  <c r="F18" i="6"/>
  <c r="G18" i="6"/>
  <c r="F9" i="3"/>
  <c r="G9" i="3"/>
  <c r="F27" i="5"/>
  <c r="G27" i="5"/>
  <c r="G25" i="4"/>
  <c r="F25" i="4"/>
  <c r="F29" i="4"/>
  <c r="G29" i="4"/>
  <c r="D23" i="7"/>
  <c r="H47" i="2"/>
  <c r="H23" i="7" s="1"/>
  <c r="D71" i="2"/>
  <c r="F12" i="5"/>
  <c r="G12" i="5"/>
  <c r="F29" i="5"/>
  <c r="G29" i="5"/>
  <c r="G26" i="3"/>
  <c r="F26" i="3"/>
  <c r="G20" i="4"/>
  <c r="F20" i="4"/>
  <c r="G10" i="4"/>
  <c r="F10" i="4"/>
  <c r="G7" i="6"/>
  <c r="F7" i="6"/>
  <c r="G22" i="5"/>
  <c r="F22" i="5"/>
  <c r="G10" i="6"/>
  <c r="F10" i="6"/>
  <c r="G9" i="4"/>
  <c r="F9" i="4"/>
  <c r="F13" i="3"/>
  <c r="G13" i="3"/>
  <c r="F27" i="3"/>
  <c r="G27" i="3"/>
  <c r="F22" i="3"/>
  <c r="G22" i="3"/>
  <c r="G28" i="6"/>
  <c r="F28" i="6"/>
  <c r="F10" i="3"/>
  <c r="G10" i="3"/>
  <c r="G7" i="5"/>
  <c r="F7" i="5"/>
  <c r="F9" i="6"/>
  <c r="G9" i="6"/>
  <c r="G19" i="3"/>
  <c r="F19" i="3"/>
  <c r="G13" i="5"/>
  <c r="F13" i="5"/>
  <c r="F24" i="3"/>
  <c r="G24" i="3"/>
  <c r="G27" i="6"/>
  <c r="F27" i="6"/>
  <c r="G19" i="5"/>
  <c r="F19" i="5"/>
  <c r="F13" i="4"/>
  <c r="G13" i="4"/>
  <c r="G24" i="6"/>
  <c r="F24" i="6"/>
  <c r="G25" i="6"/>
  <c r="F25" i="6"/>
  <c r="F12" i="6"/>
  <c r="G12" i="6"/>
  <c r="G26" i="4"/>
  <c r="F26" i="4"/>
  <c r="F22" i="4"/>
  <c r="G22" i="4"/>
  <c r="G26" i="5"/>
  <c r="F26" i="5"/>
  <c r="G12" i="3"/>
  <c r="F12" i="3"/>
  <c r="F28" i="3"/>
  <c r="G28" i="3"/>
  <c r="F18" i="3"/>
  <c r="G18" i="3"/>
  <c r="F7" i="3"/>
  <c r="G7" i="3"/>
  <c r="G20" i="5"/>
  <c r="F20" i="5"/>
  <c r="G19" i="4"/>
  <c r="F19" i="4"/>
  <c r="G13" i="6"/>
  <c r="F13" i="6"/>
  <c r="G24" i="5"/>
  <c r="F24" i="5"/>
  <c r="G27" i="4"/>
  <c r="F27" i="4"/>
  <c r="F29" i="3"/>
  <c r="G29" i="3"/>
  <c r="G19" i="6"/>
  <c r="F19" i="6"/>
  <c r="G25" i="3"/>
  <c r="F25" i="3"/>
  <c r="F28" i="5"/>
  <c r="G28" i="5"/>
  <c r="F18" i="4"/>
  <c r="G18" i="4"/>
  <c r="G9" i="5"/>
  <c r="F9" i="5"/>
  <c r="G20" i="3"/>
  <c r="F20" i="3"/>
  <c r="G24" i="4"/>
  <c r="F24" i="4"/>
  <c r="G22" i="6"/>
  <c r="F22" i="6"/>
  <c r="F10" i="5"/>
  <c r="G10" i="5"/>
  <c r="F18" i="5"/>
  <c r="G18" i="5"/>
  <c r="F7" i="4"/>
  <c r="G7" i="4"/>
  <c r="F20" i="6"/>
  <c r="G20" i="6"/>
  <c r="H15" i="3"/>
  <c r="E15" i="3" s="1"/>
  <c r="G15" i="7"/>
  <c r="I14" i="7"/>
  <c r="H15" i="6"/>
  <c r="E15" i="6" s="1"/>
  <c r="H15" i="5"/>
  <c r="E15" i="5" s="1"/>
  <c r="H15" i="7"/>
  <c r="I10" i="7"/>
  <c r="I13" i="7"/>
  <c r="H15" i="4"/>
  <c r="E15" i="4" s="1"/>
  <c r="I21" i="7"/>
  <c r="F15" i="7"/>
  <c r="I7" i="7"/>
  <c r="I27" i="7"/>
  <c r="G25" i="5"/>
  <c r="F25" i="5"/>
  <c r="F29" i="6"/>
  <c r="G29" i="6"/>
  <c r="G15" i="4" l="1"/>
  <c r="F15" i="4"/>
  <c r="F15" i="3"/>
  <c r="G15" i="3"/>
  <c r="G15" i="5"/>
  <c r="F15" i="5"/>
  <c r="D30" i="7"/>
  <c r="H71" i="2"/>
  <c r="H30" i="7" s="1"/>
  <c r="D73" i="2"/>
  <c r="H23" i="5"/>
  <c r="E23" i="5" s="1"/>
  <c r="H23" i="6"/>
  <c r="E23" i="6" s="1"/>
  <c r="H23" i="3"/>
  <c r="E23" i="3" s="1"/>
  <c r="H23" i="4"/>
  <c r="E23" i="4" s="1"/>
  <c r="I23" i="7"/>
  <c r="F15" i="6"/>
  <c r="G15" i="6"/>
  <c r="H30" i="6" l="1"/>
  <c r="E30" i="6" s="1"/>
  <c r="H30" i="5"/>
  <c r="E30" i="5" s="1"/>
  <c r="H30" i="3"/>
  <c r="E30" i="3" s="1"/>
  <c r="H30" i="4"/>
  <c r="E30" i="4" s="1"/>
  <c r="I30" i="7"/>
  <c r="F23" i="4"/>
  <c r="G23" i="4"/>
  <c r="F23" i="6"/>
  <c r="G23" i="6"/>
  <c r="G23" i="3"/>
  <c r="F23" i="3"/>
  <c r="G23" i="5"/>
  <c r="F23" i="5"/>
  <c r="H73" i="2"/>
  <c r="H32" i="7" s="1"/>
  <c r="D32" i="7"/>
  <c r="H32" i="6" l="1"/>
  <c r="E32" i="6" s="1"/>
  <c r="H32" i="5"/>
  <c r="E32" i="5" s="1"/>
  <c r="H32" i="4"/>
  <c r="E32" i="4" s="1"/>
  <c r="I32" i="7"/>
  <c r="H32" i="3"/>
  <c r="E32" i="3" s="1"/>
  <c r="G30" i="4"/>
  <c r="F30" i="4"/>
  <c r="G30" i="3"/>
  <c r="F30" i="3"/>
  <c r="G30" i="5"/>
  <c r="F30" i="5"/>
  <c r="F30" i="6"/>
  <c r="G30" i="6"/>
  <c r="F32" i="3" l="1"/>
  <c r="G32" i="3"/>
  <c r="G32" i="4"/>
  <c r="F32" i="4"/>
  <c r="F32" i="5"/>
  <c r="G32" i="5"/>
  <c r="F32" i="6"/>
  <c r="G3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Jamil Bhimji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Jamil Bhimji:</t>
        </r>
        <r>
          <rPr>
            <sz val="9"/>
            <color indexed="81"/>
            <rFont val="Tahoma"/>
            <family val="2"/>
          </rPr>
          <t xml:space="preserve">
Add a comma after date
</t>
        </r>
      </text>
    </comment>
    <comment ref="I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Jamil Bhimji:</t>
        </r>
        <r>
          <rPr>
            <sz val="9"/>
            <color indexed="81"/>
            <rFont val="Tahoma"/>
            <family val="2"/>
          </rPr>
          <t xml:space="preserve">
Add a comma after date
</t>
        </r>
      </text>
    </comment>
    <comment ref="C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Jamil Bhimji:</t>
        </r>
        <r>
          <rPr>
            <sz val="9"/>
            <color indexed="81"/>
            <rFont val="Tahoma"/>
            <family val="2"/>
          </rPr>
          <t xml:space="preserve">
Add a comma after date
</t>
        </r>
      </text>
    </comment>
    <comment ref="F1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Jamil Bhimji:</t>
        </r>
        <r>
          <rPr>
            <sz val="9"/>
            <color indexed="81"/>
            <rFont val="Tahoma"/>
            <family val="2"/>
          </rPr>
          <t xml:space="preserve">
Add a comma after date
</t>
        </r>
      </text>
    </comment>
    <comment ref="I1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Jamil Bhimji:</t>
        </r>
        <r>
          <rPr>
            <sz val="9"/>
            <color indexed="81"/>
            <rFont val="Tahoma"/>
            <family val="2"/>
          </rPr>
          <t xml:space="preserve">
Add a comma after date
</t>
        </r>
      </text>
    </comment>
  </commentList>
</comments>
</file>

<file path=xl/sharedStrings.xml><?xml version="1.0" encoding="utf-8"?>
<sst xmlns="http://schemas.openxmlformats.org/spreadsheetml/2006/main" count="209" uniqueCount="129">
  <si>
    <t xml:space="preserve"> </t>
  </si>
  <si>
    <t>Sponsorship</t>
  </si>
  <si>
    <t xml:space="preserve">Advertising </t>
  </si>
  <si>
    <t>Expenses</t>
  </si>
  <si>
    <t>Amortization</t>
  </si>
  <si>
    <t xml:space="preserve">Net Income </t>
  </si>
  <si>
    <t>Donations</t>
  </si>
  <si>
    <t xml:space="preserve">Gifts &amp; Honorariums </t>
  </si>
  <si>
    <t>Insurance</t>
  </si>
  <si>
    <t>Total Expenses</t>
  </si>
  <si>
    <t>Admin</t>
  </si>
  <si>
    <t>Project 1</t>
  </si>
  <si>
    <t>Project 3</t>
  </si>
  <si>
    <t>Project 2</t>
  </si>
  <si>
    <t>Membership, Dues, Fees</t>
  </si>
  <si>
    <t>Printing/Copying</t>
  </si>
  <si>
    <t xml:space="preserve">Travel &amp; Meals </t>
  </si>
  <si>
    <t>Grants</t>
  </si>
  <si>
    <t>Interest Income</t>
  </si>
  <si>
    <t>Amortization Expense</t>
  </si>
  <si>
    <t>Bank Charges and Interest</t>
  </si>
  <si>
    <t>Credit Card Processing Fees</t>
  </si>
  <si>
    <t>Interest &amp; Bank Charges</t>
  </si>
  <si>
    <t xml:space="preserve">Penalties &amp; Interest </t>
  </si>
  <si>
    <t>Cash Over/Short</t>
  </si>
  <si>
    <t xml:space="preserve">Office Supplies </t>
  </si>
  <si>
    <t>Professional Fees</t>
  </si>
  <si>
    <t>Accounting &amp; Legal</t>
  </si>
  <si>
    <t>Travel - Accomodations</t>
  </si>
  <si>
    <t xml:space="preserve">Travel - Transportation </t>
  </si>
  <si>
    <t>Continuing Education</t>
  </si>
  <si>
    <t>Total</t>
  </si>
  <si>
    <t xml:space="preserve">Merchandise </t>
  </si>
  <si>
    <t>Travel - Meals</t>
  </si>
  <si>
    <t>Employee Benefits</t>
  </si>
  <si>
    <t xml:space="preserve">YTD Budget </t>
  </si>
  <si>
    <t>YTD Actuals</t>
  </si>
  <si>
    <t xml:space="preserve">Year </t>
  </si>
  <si>
    <t>Total Revenue</t>
  </si>
  <si>
    <t>Revenue</t>
  </si>
  <si>
    <t>YTD Variance</t>
  </si>
  <si>
    <t>Statement of Revenue &amp; Expenses</t>
  </si>
  <si>
    <t xml:space="preserve">Date </t>
  </si>
  <si>
    <t>YTD</t>
  </si>
  <si>
    <t>Advertising &amp; Promotion</t>
  </si>
  <si>
    <t>% Variance</t>
  </si>
  <si>
    <t>Project 4</t>
  </si>
  <si>
    <t>Office &amp; Miscellaneous</t>
  </si>
  <si>
    <t>Bank Charges &amp; Interest</t>
  </si>
  <si>
    <t>Office and Miscellaneous</t>
  </si>
  <si>
    <t>% of revenues</t>
  </si>
  <si>
    <t>Quarter 1</t>
  </si>
  <si>
    <t>Yearly Budget</t>
  </si>
  <si>
    <t>Quarter 2</t>
  </si>
  <si>
    <t>Quarter 3</t>
  </si>
  <si>
    <t>Quarter 4</t>
  </si>
  <si>
    <t xml:space="preserve">Staff </t>
  </si>
  <si>
    <t xml:space="preserve">March 31, </t>
  </si>
  <si>
    <t>December 31,</t>
  </si>
  <si>
    <t xml:space="preserve">September 30, </t>
  </si>
  <si>
    <t>June 30,</t>
  </si>
  <si>
    <t>Catering</t>
  </si>
  <si>
    <t xml:space="preserve">Donations </t>
  </si>
  <si>
    <t>Federal Grants</t>
  </si>
  <si>
    <t>Provincial Grants</t>
  </si>
  <si>
    <t>Municipal Grants</t>
  </si>
  <si>
    <t>Foundations and Other Grants</t>
  </si>
  <si>
    <t>BC Gaming</t>
  </si>
  <si>
    <t>Sales</t>
  </si>
  <si>
    <t>Contracts</t>
  </si>
  <si>
    <t xml:space="preserve">Interest and Investments </t>
  </si>
  <si>
    <t xml:space="preserve">Investment Income </t>
  </si>
  <si>
    <t>Human Resources</t>
  </si>
  <si>
    <t>Contractors</t>
  </si>
  <si>
    <t>Occupancy Costs</t>
  </si>
  <si>
    <t>Kitchen Rental</t>
  </si>
  <si>
    <t>Office Rental</t>
  </si>
  <si>
    <t xml:space="preserve">Training </t>
  </si>
  <si>
    <t>Purchased Supplies and Assets</t>
  </si>
  <si>
    <t xml:space="preserve">Travel and Meals </t>
  </si>
  <si>
    <t xml:space="preserve">Education and Training </t>
  </si>
  <si>
    <t>Advertising and Promotion</t>
  </si>
  <si>
    <t xml:space="preserve">Equipment </t>
  </si>
  <si>
    <t>Food</t>
  </si>
  <si>
    <t>Food Packaging</t>
  </si>
  <si>
    <t>Garden Supplies</t>
  </si>
  <si>
    <t>Interest and Investments</t>
  </si>
  <si>
    <t>Education and Training</t>
  </si>
  <si>
    <t>Purchased Supplies</t>
  </si>
  <si>
    <t>Password to unlock sheet = flourish</t>
  </si>
  <si>
    <t>Events</t>
  </si>
  <si>
    <t>Other</t>
  </si>
  <si>
    <t>Evaluation</t>
  </si>
  <si>
    <t>Category 1</t>
  </si>
  <si>
    <t>Category 2</t>
  </si>
  <si>
    <t>Garden Coordination</t>
  </si>
  <si>
    <t>Flourish! School Food Society</t>
  </si>
  <si>
    <t>Kitchen</t>
  </si>
  <si>
    <t>FAD</t>
  </si>
  <si>
    <t>Sooke Contract Sept - Dec (71 days)</t>
  </si>
  <si>
    <t>Sooke Contract Jan - June (104 days)</t>
  </si>
  <si>
    <t>Reynolds Contract (104 days)</t>
  </si>
  <si>
    <t>Oak Bay Contract (104 days)</t>
  </si>
  <si>
    <t>TOTAL FOOD SERVICE CONTRACT</t>
  </si>
  <si>
    <t>2 Project Chefs for 10 months</t>
  </si>
  <si>
    <t>2 Project Chefs for 8 months</t>
  </si>
  <si>
    <t>1 Head Chef for 12 months</t>
  </si>
  <si>
    <t>1 Garden Coordinator for 8 months</t>
  </si>
  <si>
    <t>STAFF NOTES KITCHEN</t>
  </si>
  <si>
    <t>STAFF NOTES FAD</t>
  </si>
  <si>
    <t>2 Drivers for 10 months (6 hrs/day)</t>
  </si>
  <si>
    <t>ED 10%</t>
  </si>
  <si>
    <t>STAFF NOTES GARDEN</t>
  </si>
  <si>
    <t>ED 90%</t>
  </si>
  <si>
    <t>2 drivers for 6 months (2 hrs/day)</t>
  </si>
  <si>
    <t>Benefits</t>
  </si>
  <si>
    <t>Wage</t>
  </si>
  <si>
    <t>STAFF NOTES ADMIN</t>
  </si>
  <si>
    <t>TOTALS</t>
  </si>
  <si>
    <t>CONTRACT REVENUE NOTES</t>
  </si>
  <si>
    <t>CONTACTOR NOTES</t>
  </si>
  <si>
    <t>Cadence Charity Services</t>
  </si>
  <si>
    <t>Scale Collaborative</t>
  </si>
  <si>
    <t>Ross Alexander Whelan</t>
  </si>
  <si>
    <t>Nev Gibson / InDivision Network</t>
  </si>
  <si>
    <t>Greenchain Consulting</t>
  </si>
  <si>
    <t>Advertising</t>
  </si>
  <si>
    <t>Contactor</t>
  </si>
  <si>
    <t>Literacy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</si>
</sst>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#,##0_);\(&quot;$&quot;#,##0\)"/>
    <numFmt numFmtId="43" formatCode="_(* #,##0.00_);_(* \(#,##0.00\);_(* &quot;-&quot;??_);_(@_)"/>
    <numFmt numFmtId="164" formatCode="mmm\-dd\-yyyy"/>
    <numFmt numFmtId="165" formatCode="0.0%"/>
    <numFmt numFmtId="166" formatCode="_(* #,##0_);_(* \(#,##0\);_(* &quot;-&quot;??_);_(@_)"/>
    <numFmt numFmtId="167" formatCode="mmmm\ d"/>
  </numFmts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Bicyclette-Regular"/>
    </font>
    <font>
      <sz val="11"/>
      <color theme="1"/>
      <name val="Bicyclette-Regular"/>
    </font>
    <font>
      <b/>
      <sz val="12"/>
      <color theme="1"/>
      <name val="Bicyclette-Regular"/>
    </font>
    <font>
      <i/>
      <sz val="11"/>
      <color theme="1"/>
      <name val="Bicyclette-Regular"/>
    </font>
    <font>
      <b/>
      <sz val="11"/>
      <color theme="1"/>
      <name val="Bicyclette-Regular"/>
    </font>
    <font>
      <sz val="12"/>
      <color theme="1"/>
      <name val="Bicyclette-Regular"/>
    </font>
    <font>
      <sz val="11"/>
      <color theme="8"/>
      <name val="Bicyclette-Regular"/>
    </font>
    <font>
      <b/>
      <sz val="11"/>
      <name val="Bicyclette-Regular"/>
    </font>
    <font>
      <b/>
      <sz val="18"/>
      <color theme="1"/>
      <name val="Shrikhand Regula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8"/>
      <color rgb="FF000000"/>
      <name val="Shrikhand Regula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7">
    <xf numFmtId="0" fontId="0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86">
    <xf numFmtId="0" fontId="0" fillId="0" borderId="0" xfId="0"/>
    <xf numFmtId="0" fontId="3" fillId="2" borderId="0" xfId="0" applyFont="1" applyFill="1" applyAlignment="1" applyProtection="1">
      <alignment horizontal="center"/>
      <protection locked="0"/>
    </xf>
    <xf numFmtId="164" fontId="3" fillId="2" borderId="0" xfId="0" applyNumberFormat="1" applyFont="1" applyFill="1" applyAlignment="1" applyProtection="1">
      <alignment horizontal="center"/>
      <protection locked="0"/>
    </xf>
    <xf numFmtId="9" fontId="0" fillId="0" borderId="0" xfId="1" applyFont="1" applyProtection="1"/>
    <xf numFmtId="37" fontId="3" fillId="2" borderId="0" xfId="0" applyNumberFormat="1" applyFont="1" applyFill="1" applyAlignment="1" applyProtection="1">
      <alignment horizontal="right"/>
      <protection locked="0"/>
    </xf>
    <xf numFmtId="165" fontId="0" fillId="0" borderId="0" xfId="1" applyNumberFormat="1" applyFont="1" applyBorder="1" applyAlignment="1" applyProtection="1">
      <alignment horizontal="right"/>
    </xf>
    <xf numFmtId="165" fontId="1" fillId="0" borderId="4" xfId="1" applyNumberFormat="1" applyFont="1" applyBorder="1" applyAlignment="1" applyProtection="1">
      <alignment horizontal="right"/>
    </xf>
    <xf numFmtId="165" fontId="0" fillId="0" borderId="0" xfId="1" applyNumberFormat="1" applyFont="1" applyAlignment="1" applyProtection="1">
      <alignment horizontal="right"/>
    </xf>
    <xf numFmtId="165" fontId="1" fillId="0" borderId="1" xfId="1" applyNumberFormat="1" applyFont="1" applyBorder="1" applyAlignment="1" applyProtection="1">
      <alignment horizontal="right"/>
    </xf>
    <xf numFmtId="9" fontId="3" fillId="2" borderId="0" xfId="1" applyFont="1" applyFill="1" applyAlignment="1" applyProtection="1">
      <alignment horizontal="center"/>
      <protection locked="0"/>
    </xf>
    <xf numFmtId="166" fontId="0" fillId="0" borderId="0" xfId="2" applyNumberFormat="1" applyFont="1" applyFill="1" applyProtection="1"/>
    <xf numFmtId="167" fontId="3" fillId="2" borderId="0" xfId="0" applyNumberFormat="1" applyFont="1" applyFill="1" applyAlignment="1" applyProtection="1">
      <alignment horizontal="center"/>
      <protection locked="0"/>
    </xf>
    <xf numFmtId="0" fontId="1" fillId="0" borderId="5" xfId="0" applyFont="1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1" fillId="0" borderId="0" xfId="0" applyFont="1"/>
    <xf numFmtId="9" fontId="3" fillId="0" borderId="0" xfId="1" applyFont="1" applyFill="1" applyAlignment="1" applyProtection="1">
      <alignment horizontal="center"/>
    </xf>
    <xf numFmtId="9" fontId="0" fillId="0" borderId="0" xfId="0" applyNumberFormat="1"/>
    <xf numFmtId="166" fontId="0" fillId="0" borderId="0" xfId="0" applyNumberFormat="1"/>
    <xf numFmtId="0" fontId="13" fillId="0" borderId="0" xfId="0" applyFont="1"/>
    <xf numFmtId="0" fontId="1" fillId="0" borderId="0" xfId="0" applyFont="1" applyAlignment="1">
      <alignment horizontal="centerContinuous"/>
    </xf>
    <xf numFmtId="0" fontId="1" fillId="0" borderId="2" xfId="0" applyFont="1" applyBorder="1"/>
    <xf numFmtId="0" fontId="0" fillId="0" borderId="2" xfId="0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164" fontId="3" fillId="0" borderId="0" xfId="0" applyNumberFormat="1" applyFont="1" applyAlignment="1">
      <alignment horizontal="center"/>
    </xf>
    <xf numFmtId="37" fontId="0" fillId="0" borderId="0" xfId="0" applyNumberFormat="1" applyAlignment="1">
      <alignment horizontal="right"/>
    </xf>
    <xf numFmtId="37" fontId="1" fillId="0" borderId="0" xfId="0" applyNumberFormat="1" applyFont="1" applyAlignment="1">
      <alignment horizontal="right"/>
    </xf>
    <xf numFmtId="0" fontId="1" fillId="0" borderId="3" xfId="0" applyFont="1" applyBorder="1"/>
    <xf numFmtId="37" fontId="1" fillId="0" borderId="3" xfId="0" applyNumberFormat="1" applyFont="1" applyBorder="1" applyAlignment="1">
      <alignment horizontal="right"/>
    </xf>
    <xf numFmtId="5" fontId="1" fillId="0" borderId="3" xfId="0" applyNumberFormat="1" applyFont="1" applyBorder="1" applyAlignment="1">
      <alignment horizontal="right"/>
    </xf>
    <xf numFmtId="0" fontId="0" fillId="0" borderId="0" xfId="0" applyAlignment="1">
      <alignment horizontal="left"/>
    </xf>
    <xf numFmtId="37" fontId="1" fillId="0" borderId="0" xfId="0" applyNumberFormat="1" applyFont="1"/>
    <xf numFmtId="0" fontId="1" fillId="0" borderId="1" xfId="0" applyFont="1" applyBorder="1"/>
    <xf numFmtId="0" fontId="0" fillId="0" borderId="1" xfId="0" applyBorder="1"/>
    <xf numFmtId="37" fontId="1" fillId="0" borderId="1" xfId="0" applyNumberFormat="1" applyFont="1" applyBorder="1"/>
    <xf numFmtId="5" fontId="1" fillId="0" borderId="1" xfId="0" applyNumberFormat="1" applyFont="1" applyBorder="1" applyAlignment="1">
      <alignment horizontal="right"/>
    </xf>
    <xf numFmtId="0" fontId="2" fillId="0" borderId="0" xfId="0" applyFont="1"/>
    <xf numFmtId="0" fontId="9" fillId="0" borderId="0" xfId="0" applyFont="1"/>
    <xf numFmtId="0" fontId="1" fillId="0" borderId="2" xfId="0" applyFont="1" applyBorder="1" applyAlignment="1">
      <alignment horizontal="left"/>
    </xf>
    <xf numFmtId="0" fontId="12" fillId="0" borderId="2" xfId="0" applyFont="1" applyBorder="1" applyAlignment="1">
      <alignment horizontal="center" wrapText="1"/>
    </xf>
    <xf numFmtId="0" fontId="4" fillId="0" borderId="0" xfId="0" applyFont="1"/>
    <xf numFmtId="37" fontId="0" fillId="0" borderId="0" xfId="0" applyNumberFormat="1"/>
    <xf numFmtId="165" fontId="12" fillId="0" borderId="0" xfId="1" applyNumberFormat="1" applyFont="1" applyAlignment="1" applyProtection="1">
      <alignment horizontal="right"/>
    </xf>
    <xf numFmtId="0" fontId="2" fillId="0" borderId="3" xfId="0" applyFont="1" applyBorder="1"/>
    <xf numFmtId="165" fontId="12" fillId="0" borderId="3" xfId="1" applyNumberFormat="1" applyFont="1" applyBorder="1" applyAlignment="1" applyProtection="1">
      <alignment horizontal="right"/>
    </xf>
    <xf numFmtId="0" fontId="11" fillId="0" borderId="0" xfId="0" applyFont="1"/>
    <xf numFmtId="165" fontId="12" fillId="0" borderId="0" xfId="1" applyNumberFormat="1" applyFont="1" applyBorder="1" applyAlignment="1" applyProtection="1">
      <alignment horizontal="right"/>
    </xf>
    <xf numFmtId="0" fontId="12" fillId="0" borderId="0" xfId="0" applyFont="1"/>
    <xf numFmtId="0" fontId="1" fillId="0" borderId="2" xfId="0" applyFont="1" applyBorder="1" applyAlignment="1">
      <alignment horizontal="right"/>
    </xf>
    <xf numFmtId="0" fontId="2" fillId="0" borderId="1" xfId="0" applyFont="1" applyBorder="1"/>
    <xf numFmtId="165" fontId="12" fillId="0" borderId="1" xfId="1" applyNumberFormat="1" applyFont="1" applyBorder="1" applyAlignment="1" applyProtection="1">
      <alignment horizontal="right"/>
    </xf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Continuous"/>
    </xf>
    <xf numFmtId="0" fontId="1" fillId="0" borderId="4" xfId="0" applyFont="1" applyBorder="1" applyAlignment="1">
      <alignment horizontal="center"/>
    </xf>
    <xf numFmtId="37" fontId="10" fillId="0" borderId="4" xfId="0" applyNumberFormat="1" applyFont="1" applyBorder="1" applyAlignment="1">
      <alignment horizontal="right"/>
    </xf>
    <xf numFmtId="37" fontId="1" fillId="0" borderId="4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10" fontId="0" fillId="0" borderId="0" xfId="0" applyNumberFormat="1" applyAlignment="1">
      <alignment horizontal="right"/>
    </xf>
    <xf numFmtId="37" fontId="10" fillId="0" borderId="1" xfId="0" applyNumberFormat="1" applyFont="1" applyBorder="1" applyAlignment="1">
      <alignment horizontal="right"/>
    </xf>
    <xf numFmtId="37" fontId="1" fillId="0" borderId="1" xfId="0" applyNumberFormat="1" applyFont="1" applyBorder="1" applyAlignment="1">
      <alignment horizontal="right"/>
    </xf>
    <xf numFmtId="0" fontId="16" fillId="0" borderId="0" xfId="0" applyFont="1"/>
    <xf numFmtId="0" fontId="17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Continuous"/>
    </xf>
    <xf numFmtId="0" fontId="18" fillId="0" borderId="0" xfId="0" applyFont="1"/>
    <xf numFmtId="0" fontId="15" fillId="0" borderId="0" xfId="0" applyFont="1" applyAlignment="1">
      <alignment horizontal="centerContinuous"/>
    </xf>
    <xf numFmtId="0" fontId="19" fillId="0" borderId="4" xfId="0" applyFont="1" applyBorder="1" applyAlignment="1">
      <alignment horizontal="center"/>
    </xf>
    <xf numFmtId="0" fontId="19" fillId="0" borderId="0" xfId="0" applyFont="1"/>
    <xf numFmtId="0" fontId="20" fillId="0" borderId="0" xfId="0" applyFont="1"/>
    <xf numFmtId="37" fontId="21" fillId="2" borderId="0" xfId="0" applyNumberFormat="1" applyFont="1" applyFill="1" applyAlignment="1" applyProtection="1">
      <alignment horizontal="right"/>
      <protection locked="0"/>
    </xf>
    <xf numFmtId="37" fontId="16" fillId="0" borderId="0" xfId="0" applyNumberFormat="1" applyFont="1" applyAlignment="1">
      <alignment horizontal="right"/>
    </xf>
    <xf numFmtId="165" fontId="16" fillId="0" borderId="0" xfId="1" applyNumberFormat="1" applyFont="1" applyBorder="1" applyAlignment="1" applyProtection="1">
      <alignment horizontal="right"/>
    </xf>
    <xf numFmtId="37" fontId="22" fillId="0" borderId="4" xfId="0" applyNumberFormat="1" applyFont="1" applyBorder="1" applyAlignment="1">
      <alignment horizontal="right"/>
    </xf>
    <xf numFmtId="37" fontId="19" fillId="0" borderId="4" xfId="0" applyNumberFormat="1" applyFont="1" applyBorder="1" applyAlignment="1">
      <alignment horizontal="right"/>
    </xf>
    <xf numFmtId="165" fontId="19" fillId="0" borderId="4" xfId="1" applyNumberFormat="1" applyFont="1" applyBorder="1" applyAlignment="1" applyProtection="1">
      <alignment horizontal="right"/>
    </xf>
    <xf numFmtId="0" fontId="21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165" fontId="16" fillId="0" borderId="0" xfId="1" applyNumberFormat="1" applyFont="1" applyAlignment="1" applyProtection="1">
      <alignment horizontal="right"/>
    </xf>
    <xf numFmtId="10" fontId="16" fillId="0" borderId="0" xfId="0" applyNumberFormat="1" applyFont="1" applyAlignment="1">
      <alignment horizontal="right"/>
    </xf>
    <xf numFmtId="37" fontId="22" fillId="0" borderId="1" xfId="0" applyNumberFormat="1" applyFont="1" applyBorder="1" applyAlignment="1">
      <alignment horizontal="right"/>
    </xf>
    <xf numFmtId="37" fontId="19" fillId="0" borderId="1" xfId="0" applyNumberFormat="1" applyFont="1" applyBorder="1" applyAlignment="1">
      <alignment horizontal="right"/>
    </xf>
    <xf numFmtId="165" fontId="19" fillId="0" borderId="1" xfId="1" applyNumberFormat="1" applyFont="1" applyBorder="1" applyAlignment="1" applyProtection="1">
      <alignment horizontal="right"/>
    </xf>
    <xf numFmtId="9" fontId="16" fillId="0" borderId="0" xfId="1" applyFont="1" applyProtection="1"/>
    <xf numFmtId="0" fontId="23" fillId="0" borderId="0" xfId="0" applyFont="1" applyAlignment="1">
      <alignment vertical="top"/>
    </xf>
    <xf numFmtId="0" fontId="26" fillId="0" borderId="0" xfId="0" applyFont="1" applyAlignment="1">
      <alignment vertical="top"/>
    </xf>
  </cellXfs>
  <cellStyles count="7">
    <cellStyle name="Comma" xfId="2" builtinId="3"/>
    <cellStyle name="Followed Hyperlink" xfId="4" builtinId="9" hidden="1"/>
    <cellStyle name="Followed Hyperlink" xfId="6" builtinId="9" hidden="1"/>
    <cellStyle name="Hyperlink" xfId="3" builtinId="8" hidden="1"/>
    <cellStyle name="Hyperlink" xfId="5" builtinId="8" hidden="1"/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468D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6"/>
  <sheetViews>
    <sheetView showGridLines="0" workbookViewId="0">
      <selection activeCell="I5" sqref="I5"/>
    </sheetView>
  </sheetViews>
  <sheetFormatPr baseColWidth="10" defaultColWidth="8.83203125" defaultRowHeight="15"/>
  <cols>
    <col min="1" max="1" width="2.83203125" customWidth="1"/>
    <col min="2" max="2" width="12.6640625" customWidth="1"/>
    <col min="3" max="3" width="20" customWidth="1"/>
    <col min="4" max="4" width="6.83203125" customWidth="1"/>
    <col min="5" max="9" width="13.6640625" customWidth="1"/>
    <col min="12" max="12" width="7.6640625" customWidth="1"/>
    <col min="15" max="15" width="12.33203125" bestFit="1" customWidth="1"/>
  </cols>
  <sheetData>
    <row r="2" spans="2:9">
      <c r="B2" s="12" t="s">
        <v>52</v>
      </c>
      <c r="C2" s="13"/>
      <c r="E2" s="12" t="s">
        <v>51</v>
      </c>
      <c r="F2" s="13"/>
      <c r="H2" s="12" t="s">
        <v>54</v>
      </c>
      <c r="I2" s="13"/>
    </row>
    <row r="3" spans="2:9">
      <c r="B3" s="14"/>
    </row>
    <row r="4" spans="2:9">
      <c r="B4" s="14" t="s">
        <v>37</v>
      </c>
      <c r="C4" s="1">
        <v>2024</v>
      </c>
      <c r="E4" s="14" t="s">
        <v>42</v>
      </c>
      <c r="F4" s="11" t="s">
        <v>59</v>
      </c>
      <c r="H4" s="14" t="s">
        <v>42</v>
      </c>
      <c r="I4" s="11" t="s">
        <v>57</v>
      </c>
    </row>
    <row r="5" spans="2:9">
      <c r="B5" s="14" t="s">
        <v>42</v>
      </c>
      <c r="C5" s="11" t="s">
        <v>60</v>
      </c>
      <c r="E5" s="14" t="s">
        <v>43</v>
      </c>
      <c r="F5" s="9">
        <v>0.1</v>
      </c>
      <c r="H5" s="14" t="s">
        <v>43</v>
      </c>
      <c r="I5" s="9">
        <v>0.75</v>
      </c>
    </row>
    <row r="6" spans="2:9">
      <c r="B6" s="14" t="s">
        <v>93</v>
      </c>
      <c r="C6" s="11" t="s">
        <v>61</v>
      </c>
      <c r="E6" s="14"/>
      <c r="F6" s="15"/>
      <c r="H6" s="14"/>
      <c r="I6" s="15"/>
    </row>
    <row r="7" spans="2:9">
      <c r="B7" s="14" t="s">
        <v>94</v>
      </c>
      <c r="C7" s="11" t="s">
        <v>95</v>
      </c>
      <c r="E7" s="14"/>
      <c r="F7" s="15"/>
      <c r="H7" s="14"/>
      <c r="I7" s="15"/>
    </row>
    <row r="8" spans="2:9">
      <c r="B8" s="14" t="s">
        <v>11</v>
      </c>
      <c r="C8" s="2"/>
    </row>
    <row r="9" spans="2:9">
      <c r="B9" s="14" t="s">
        <v>13</v>
      </c>
      <c r="C9" s="2"/>
      <c r="E9" s="12" t="s">
        <v>53</v>
      </c>
      <c r="F9" s="13"/>
      <c r="H9" s="12" t="s">
        <v>55</v>
      </c>
      <c r="I9" s="13"/>
    </row>
    <row r="10" spans="2:9">
      <c r="B10" s="14" t="s">
        <v>12</v>
      </c>
      <c r="C10" s="2"/>
    </row>
    <row r="11" spans="2:9">
      <c r="B11" s="14" t="s">
        <v>46</v>
      </c>
      <c r="C11" s="2"/>
      <c r="E11" s="14" t="s">
        <v>42</v>
      </c>
      <c r="F11" s="11" t="s">
        <v>58</v>
      </c>
      <c r="H11" s="14" t="s">
        <v>42</v>
      </c>
      <c r="I11" s="11" t="s">
        <v>60</v>
      </c>
    </row>
    <row r="12" spans="2:9">
      <c r="E12" s="14" t="s">
        <v>43</v>
      </c>
      <c r="F12" s="9">
        <v>0.4</v>
      </c>
      <c r="H12" s="14" t="s">
        <v>43</v>
      </c>
      <c r="I12" s="9">
        <v>1</v>
      </c>
    </row>
    <row r="16" spans="2:9">
      <c r="B16" t="s">
        <v>89</v>
      </c>
    </row>
  </sheetData>
  <sheetProtection algorithmName="SHA-512" hashValue="Ay60bC6qw1GDFAj94vdQwryQl4XwJyM+1jHhLDRkFEBAs1FX833+6aJ+VRJxYAnbcinQFCZW5Se+mZeMotL8rQ==" saltValue="Sfx1UkaBNayGWT9A43Qs1g==" spinCount="100000" sheet="1" selectLockedCells="1"/>
  <phoneticPr fontId="14" type="noConversion"/>
  <pageMargins left="0.7" right="0.7" top="0.75" bottom="0.75" header="0.3" footer="0.3"/>
  <pageSetup scale="82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00"/>
  <sheetViews>
    <sheetView showGridLines="0" topLeftCell="A29" zoomScale="110" zoomScaleNormal="110" zoomScalePageLayoutView="110" workbookViewId="0">
      <selection activeCell="F16" sqref="F16"/>
    </sheetView>
  </sheetViews>
  <sheetFormatPr baseColWidth="10" defaultColWidth="9" defaultRowHeight="15"/>
  <cols>
    <col min="1" max="1" width="5.6640625" customWidth="1"/>
    <col min="2" max="2" width="35.1640625" bestFit="1" customWidth="1"/>
    <col min="3" max="3" width="2.6640625" customWidth="1"/>
    <col min="4" max="4" width="13" customWidth="1"/>
    <col min="5" max="8" width="12.6640625" customWidth="1"/>
    <col min="9" max="9" width="6" customWidth="1"/>
    <col min="10" max="10" width="9" bestFit="1" customWidth="1"/>
    <col min="11" max="11" width="13.33203125" customWidth="1"/>
    <col min="12" max="12" width="3" customWidth="1"/>
    <col min="13" max="13" width="23.33203125" bestFit="1" customWidth="1"/>
    <col min="14" max="14" width="8.6640625" bestFit="1" customWidth="1"/>
    <col min="15" max="15" width="9.6640625" bestFit="1" customWidth="1"/>
    <col min="19" max="19" width="11.33203125" customWidth="1"/>
    <col min="27" max="27" width="13.6640625" customWidth="1"/>
  </cols>
  <sheetData>
    <row r="1" spans="1:15" ht="15" customHeight="1">
      <c r="M1" s="14"/>
      <c r="N1" s="10"/>
    </row>
    <row r="2" spans="1:15" ht="15" customHeight="1">
      <c r="A2" s="14" t="str">
        <f>CONCATENATE("Annual Budget ", 'Control Panel'!C4)</f>
        <v>Annual Budget 2024</v>
      </c>
      <c r="B2" s="14"/>
      <c r="C2" s="14"/>
      <c r="M2" s="14"/>
      <c r="N2" s="16"/>
      <c r="O2" s="17"/>
    </row>
    <row r="3" spans="1:15" ht="15" customHeight="1">
      <c r="A3" s="18" t="str">
        <f>CONCATENATE("For the Year Ending ", 'Control Panel'!C5," ",  'Control Panel'!C4)</f>
        <v>For the Year Ending June 30, 2024</v>
      </c>
      <c r="B3" s="19"/>
      <c r="C3" s="19"/>
      <c r="M3" s="14"/>
      <c r="N3" s="16"/>
      <c r="O3" s="17"/>
    </row>
    <row r="4" spans="1:15" ht="15" customHeight="1">
      <c r="A4" s="14"/>
      <c r="M4" s="14"/>
      <c r="N4" s="16"/>
      <c r="O4" s="17"/>
    </row>
    <row r="5" spans="1:15" ht="28.25" customHeight="1">
      <c r="A5" s="20">
        <v>4000</v>
      </c>
      <c r="B5" s="20" t="s">
        <v>39</v>
      </c>
      <c r="C5" s="21"/>
      <c r="D5" s="22" t="s">
        <v>97</v>
      </c>
      <c r="E5" s="23" t="s">
        <v>98</v>
      </c>
      <c r="F5" s="22" t="s">
        <v>128</v>
      </c>
      <c r="G5" s="22" t="s">
        <v>10</v>
      </c>
      <c r="H5" s="22" t="s">
        <v>31</v>
      </c>
      <c r="J5" s="14"/>
      <c r="K5" s="24"/>
    </row>
    <row r="6" spans="1:15" ht="15" customHeight="1">
      <c r="A6" s="14"/>
      <c r="B6" t="s">
        <v>69</v>
      </c>
      <c r="C6" s="14"/>
      <c r="D6" s="4">
        <v>780693</v>
      </c>
      <c r="E6" s="4"/>
      <c r="F6" s="4">
        <v>37000</v>
      </c>
      <c r="G6" s="4">
        <v>39600</v>
      </c>
      <c r="H6" s="25">
        <f>SUM(D6:G6)</f>
        <v>857293</v>
      </c>
    </row>
    <row r="7" spans="1:15" ht="15" customHeight="1">
      <c r="A7" s="14"/>
      <c r="B7" s="14" t="s">
        <v>69</v>
      </c>
      <c r="C7" s="14"/>
      <c r="D7" s="26">
        <f>SUM(D6)</f>
        <v>780693</v>
      </c>
      <c r="E7" s="26">
        <f t="shared" ref="E7:G7" si="0">SUM(E6)</f>
        <v>0</v>
      </c>
      <c r="F7" s="26">
        <f>SUM(F6)</f>
        <v>37000</v>
      </c>
      <c r="G7" s="26">
        <f t="shared" si="0"/>
        <v>39600</v>
      </c>
      <c r="H7" s="26">
        <f>SUM(D7:G7)</f>
        <v>857293</v>
      </c>
    </row>
    <row r="8" spans="1:15" ht="15" customHeight="1">
      <c r="B8" t="s">
        <v>6</v>
      </c>
      <c r="D8" s="4"/>
      <c r="E8" s="4"/>
      <c r="F8" s="4"/>
      <c r="G8" s="4"/>
      <c r="H8" s="25">
        <f>SUM(D8:G8)</f>
        <v>0</v>
      </c>
    </row>
    <row r="9" spans="1:15" ht="15" customHeight="1">
      <c r="A9" s="14"/>
      <c r="B9" s="14" t="s">
        <v>62</v>
      </c>
      <c r="C9" s="14"/>
      <c r="D9" s="26">
        <f t="shared" ref="D9:G9" si="1">SUM(D8:D8)</f>
        <v>0</v>
      </c>
      <c r="E9" s="26">
        <f t="shared" si="1"/>
        <v>0</v>
      </c>
      <c r="F9" s="26"/>
      <c r="G9" s="26">
        <f t="shared" si="1"/>
        <v>0</v>
      </c>
      <c r="H9" s="26">
        <f>SUM(D9:G9)</f>
        <v>0</v>
      </c>
    </row>
    <row r="10" spans="1:15" ht="15" customHeight="1">
      <c r="A10" s="14"/>
      <c r="B10" t="s">
        <v>90</v>
      </c>
      <c r="C10" s="14"/>
      <c r="D10" s="4"/>
      <c r="E10" s="4"/>
      <c r="F10" s="4"/>
      <c r="G10" s="4"/>
      <c r="H10" s="25">
        <f>SUM(D10:G10)</f>
        <v>0</v>
      </c>
    </row>
    <row r="11" spans="1:15" ht="15" customHeight="1">
      <c r="A11" s="14"/>
      <c r="B11" s="14" t="s">
        <v>90</v>
      </c>
      <c r="C11" s="14"/>
      <c r="D11" s="26">
        <f>SUM(D10)</f>
        <v>0</v>
      </c>
      <c r="E11" s="26">
        <f t="shared" ref="E11:G11" si="2">SUM(E10)</f>
        <v>0</v>
      </c>
      <c r="F11" s="26">
        <f t="shared" si="2"/>
        <v>0</v>
      </c>
      <c r="G11" s="26">
        <f t="shared" si="2"/>
        <v>0</v>
      </c>
      <c r="H11" s="26">
        <f>SUM(D11:G11)</f>
        <v>0</v>
      </c>
    </row>
    <row r="12" spans="1:15" ht="15" customHeight="1">
      <c r="B12" t="s">
        <v>63</v>
      </c>
      <c r="D12" s="4"/>
      <c r="E12" s="4"/>
      <c r="F12" s="4"/>
      <c r="G12" s="4"/>
      <c r="H12" s="25">
        <f>SUM(D12:G12)</f>
        <v>0</v>
      </c>
    </row>
    <row r="13" spans="1:15" ht="15" customHeight="1">
      <c r="B13" t="s">
        <v>64</v>
      </c>
      <c r="D13" s="4">
        <v>90000</v>
      </c>
      <c r="E13" s="4">
        <v>120000</v>
      </c>
      <c r="F13" s="4"/>
      <c r="G13" s="4">
        <v>21000</v>
      </c>
      <c r="H13" s="25">
        <f>SUM(D13:G13)</f>
        <v>231000</v>
      </c>
    </row>
    <row r="14" spans="1:15" ht="15" customHeight="1">
      <c r="B14" t="s">
        <v>65</v>
      </c>
      <c r="D14" s="4"/>
      <c r="E14" s="4"/>
      <c r="F14" s="4"/>
      <c r="G14" s="4"/>
      <c r="H14" s="25">
        <f>SUM(D14:G14)</f>
        <v>0</v>
      </c>
    </row>
    <row r="15" spans="1:15" ht="15" customHeight="1">
      <c r="B15" t="s">
        <v>66</v>
      </c>
      <c r="D15" s="4"/>
      <c r="E15" s="4"/>
      <c r="F15" s="4">
        <v>11661</v>
      </c>
      <c r="G15" s="4">
        <v>79863</v>
      </c>
      <c r="H15" s="25">
        <f>SUM(D15:G15)</f>
        <v>91524</v>
      </c>
    </row>
    <row r="16" spans="1:15" ht="15" customHeight="1">
      <c r="B16" t="s">
        <v>67</v>
      </c>
      <c r="D16" s="4"/>
      <c r="E16" s="4"/>
      <c r="F16" s="4"/>
      <c r="G16" s="4"/>
      <c r="H16" s="25">
        <f>SUM(D16:G16)</f>
        <v>0</v>
      </c>
    </row>
    <row r="17" spans="1:8" ht="15" customHeight="1">
      <c r="A17" s="14"/>
      <c r="B17" s="14" t="s">
        <v>17</v>
      </c>
      <c r="C17" s="14"/>
      <c r="D17" s="26">
        <f>SUM(D12:D16)</f>
        <v>90000</v>
      </c>
      <c r="E17" s="26">
        <f t="shared" ref="E17:G17" si="3">SUM(E12:E16)</f>
        <v>120000</v>
      </c>
      <c r="F17" s="26">
        <f t="shared" si="3"/>
        <v>11661</v>
      </c>
      <c r="G17" s="26">
        <f t="shared" si="3"/>
        <v>100863</v>
      </c>
      <c r="H17" s="26">
        <f>SUM(D17:G17)</f>
        <v>322524</v>
      </c>
    </row>
    <row r="18" spans="1:8">
      <c r="B18" t="s">
        <v>71</v>
      </c>
      <c r="D18" s="4"/>
      <c r="E18" s="4"/>
      <c r="F18" s="4"/>
      <c r="G18" s="4"/>
      <c r="H18" s="25">
        <f>SUM(D18:G18)</f>
        <v>0</v>
      </c>
    </row>
    <row r="19" spans="1:8">
      <c r="B19" t="s">
        <v>18</v>
      </c>
      <c r="D19" s="4"/>
      <c r="E19" s="4"/>
      <c r="F19" s="4"/>
      <c r="G19" s="4">
        <v>4000</v>
      </c>
      <c r="H19" s="25">
        <f>SUM(D19:G19)</f>
        <v>4000</v>
      </c>
    </row>
    <row r="20" spans="1:8" ht="15" customHeight="1">
      <c r="A20" s="14"/>
      <c r="B20" s="14" t="s">
        <v>70</v>
      </c>
      <c r="C20" s="14"/>
      <c r="D20" s="26">
        <f t="shared" ref="D20:G20" si="4">SUM(D18:D19)</f>
        <v>0</v>
      </c>
      <c r="E20" s="26">
        <f t="shared" si="4"/>
        <v>0</v>
      </c>
      <c r="F20" s="26">
        <f t="shared" si="4"/>
        <v>0</v>
      </c>
      <c r="G20" s="26">
        <f t="shared" si="4"/>
        <v>4000</v>
      </c>
      <c r="H20" s="26">
        <f>SUM(D20:G20)</f>
        <v>4000</v>
      </c>
    </row>
    <row r="21" spans="1:8" ht="15" customHeight="1">
      <c r="A21" s="14"/>
      <c r="B21" t="s">
        <v>91</v>
      </c>
      <c r="C21" s="14"/>
      <c r="D21" s="4"/>
      <c r="E21" s="4"/>
      <c r="F21" s="4"/>
      <c r="G21" s="4"/>
      <c r="H21" s="25">
        <f>SUM(D21:G21)</f>
        <v>0</v>
      </c>
    </row>
    <row r="22" spans="1:8" ht="15" customHeight="1">
      <c r="A22" s="14"/>
      <c r="B22" s="14" t="s">
        <v>91</v>
      </c>
      <c r="C22" s="14"/>
      <c r="D22" s="26">
        <f>SUM(D21)</f>
        <v>0</v>
      </c>
      <c r="E22" s="26">
        <f t="shared" ref="E22:G22" si="5">SUM(E21)</f>
        <v>0</v>
      </c>
      <c r="F22" s="26">
        <f t="shared" si="5"/>
        <v>0</v>
      </c>
      <c r="G22" s="26">
        <f t="shared" si="5"/>
        <v>0</v>
      </c>
      <c r="H22" s="26">
        <f>SUM(D22:G22)</f>
        <v>0</v>
      </c>
    </row>
    <row r="23" spans="1:8" ht="15" customHeight="1">
      <c r="B23" t="s">
        <v>68</v>
      </c>
      <c r="D23" s="4">
        <v>18000</v>
      </c>
      <c r="E23" s="4"/>
      <c r="F23" s="4"/>
      <c r="G23" s="4"/>
      <c r="H23" s="25">
        <f>SUM(D23:G23)</f>
        <v>18000</v>
      </c>
    </row>
    <row r="24" spans="1:8" ht="15" customHeight="1">
      <c r="A24" s="14"/>
      <c r="B24" s="14" t="s">
        <v>68</v>
      </c>
      <c r="C24" s="14"/>
      <c r="D24" s="26">
        <f t="shared" ref="D24:G24" si="6">SUM(D23:D23)</f>
        <v>18000</v>
      </c>
      <c r="E24" s="26">
        <f t="shared" si="6"/>
        <v>0</v>
      </c>
      <c r="F24" s="26">
        <f t="shared" si="6"/>
        <v>0</v>
      </c>
      <c r="G24" s="26">
        <f t="shared" si="6"/>
        <v>0</v>
      </c>
      <c r="H24" s="26">
        <f>SUM(D24:G24)</f>
        <v>18000</v>
      </c>
    </row>
    <row r="25" spans="1:8" ht="15" customHeight="1">
      <c r="A25" s="14"/>
      <c r="B25" t="s">
        <v>1</v>
      </c>
      <c r="C25" s="14"/>
      <c r="D25" s="4">
        <v>5000</v>
      </c>
      <c r="E25" s="4"/>
      <c r="F25" s="4"/>
      <c r="G25" s="4"/>
      <c r="H25" s="25">
        <f>SUM(D25:G25)</f>
        <v>5000</v>
      </c>
    </row>
    <row r="26" spans="1:8" ht="15" customHeight="1">
      <c r="A26" s="14"/>
      <c r="B26" s="14" t="s">
        <v>1</v>
      </c>
      <c r="C26" s="14"/>
      <c r="D26" s="26">
        <f>SUM(D25)</f>
        <v>5000</v>
      </c>
      <c r="E26" s="26">
        <f t="shared" ref="E26:G26" si="7">SUM(E25)</f>
        <v>0</v>
      </c>
      <c r="F26" s="26">
        <f t="shared" si="7"/>
        <v>0</v>
      </c>
      <c r="G26" s="26">
        <f t="shared" si="7"/>
        <v>0</v>
      </c>
      <c r="H26" s="26">
        <f>SUM(D26:G26)</f>
        <v>5000</v>
      </c>
    </row>
    <row r="27" spans="1:8" ht="15" customHeight="1" thickBot="1">
      <c r="A27" s="27">
        <v>4999</v>
      </c>
      <c r="B27" s="27" t="s">
        <v>31</v>
      </c>
      <c r="C27" s="27"/>
      <c r="D27" s="28">
        <f>D20+D26+D17+D24+D9+D7+D11+D22</f>
        <v>893693</v>
      </c>
      <c r="E27" s="28">
        <f t="shared" ref="E27:G27" si="8">E20+E26+E17+E24+E9+E7+E11+E22</f>
        <v>120000</v>
      </c>
      <c r="F27" s="28">
        <f t="shared" si="8"/>
        <v>48661</v>
      </c>
      <c r="G27" s="28">
        <f t="shared" si="8"/>
        <v>144463</v>
      </c>
      <c r="H27" s="29">
        <f>SUM(D27:G27)</f>
        <v>1206817</v>
      </c>
    </row>
    <row r="28" spans="1:8" ht="15" customHeight="1">
      <c r="D28" s="30"/>
      <c r="E28" s="30"/>
      <c r="F28" s="30"/>
      <c r="G28" s="30"/>
      <c r="H28" s="30"/>
    </row>
    <row r="29" spans="1:8" ht="28.25" customHeight="1">
      <c r="A29" s="20">
        <v>5000</v>
      </c>
      <c r="B29" s="20" t="s">
        <v>3</v>
      </c>
      <c r="C29" s="21"/>
      <c r="D29" s="23" t="str">
        <f t="shared" ref="D29:G29" si="9">D5</f>
        <v>Kitchen</v>
      </c>
      <c r="E29" s="23" t="str">
        <f t="shared" si="9"/>
        <v>FAD</v>
      </c>
      <c r="F29" s="22" t="str">
        <f t="shared" si="9"/>
        <v>Literacy</v>
      </c>
      <c r="G29" s="22" t="str">
        <f t="shared" si="9"/>
        <v>Admin</v>
      </c>
      <c r="H29" s="22" t="s">
        <v>31</v>
      </c>
    </row>
    <row r="30" spans="1:8" ht="15" customHeight="1">
      <c r="B30" t="s">
        <v>2</v>
      </c>
      <c r="D30" s="4"/>
      <c r="E30" s="4"/>
      <c r="F30" s="4"/>
      <c r="G30" s="4">
        <v>30000</v>
      </c>
      <c r="H30" s="25">
        <f>SUM(D30:G30)</f>
        <v>30000</v>
      </c>
    </row>
    <row r="31" spans="1:8" ht="15" customHeight="1">
      <c r="A31" s="14"/>
      <c r="B31" s="14" t="s">
        <v>81</v>
      </c>
      <c r="C31" s="14"/>
      <c r="D31" s="26">
        <f t="shared" ref="D31:G31" si="10">D30</f>
        <v>0</v>
      </c>
      <c r="E31" s="26">
        <f t="shared" si="10"/>
        <v>0</v>
      </c>
      <c r="F31" s="26">
        <f t="shared" si="10"/>
        <v>0</v>
      </c>
      <c r="G31" s="26">
        <f t="shared" si="10"/>
        <v>30000</v>
      </c>
      <c r="H31" s="26">
        <f>SUM(D31:G31)</f>
        <v>30000</v>
      </c>
    </row>
    <row r="32" spans="1:8" ht="15" customHeight="1">
      <c r="B32" t="s">
        <v>19</v>
      </c>
      <c r="D32" s="4"/>
      <c r="E32" s="4"/>
      <c r="F32" s="4"/>
      <c r="G32" s="4"/>
      <c r="H32" s="25">
        <f>SUM(D32:G32)</f>
        <v>0</v>
      </c>
    </row>
    <row r="33" spans="1:8" ht="15" customHeight="1">
      <c r="A33" s="14"/>
      <c r="B33" s="14" t="s">
        <v>4</v>
      </c>
      <c r="C33" s="14"/>
      <c r="D33" s="26">
        <f t="shared" ref="D33:G33" si="11">D32</f>
        <v>0</v>
      </c>
      <c r="E33" s="26">
        <f t="shared" si="11"/>
        <v>0</v>
      </c>
      <c r="F33" s="26">
        <f t="shared" si="11"/>
        <v>0</v>
      </c>
      <c r="G33" s="26">
        <f t="shared" si="11"/>
        <v>0</v>
      </c>
      <c r="H33" s="26">
        <f>SUM(D33:G33)</f>
        <v>0</v>
      </c>
    </row>
    <row r="34" spans="1:8" ht="15" customHeight="1">
      <c r="B34" t="s">
        <v>21</v>
      </c>
      <c r="D34" s="4"/>
      <c r="E34" s="4"/>
      <c r="F34" s="4"/>
      <c r="G34" s="4"/>
      <c r="H34" s="25">
        <f>SUM(D34:G34)</f>
        <v>0</v>
      </c>
    </row>
    <row r="35" spans="1:8" ht="15" customHeight="1">
      <c r="B35" t="s">
        <v>22</v>
      </c>
      <c r="D35" s="4"/>
      <c r="E35" s="4"/>
      <c r="F35" s="4"/>
      <c r="G35" s="4">
        <v>1000</v>
      </c>
      <c r="H35" s="25">
        <f>SUM(D35:G35)</f>
        <v>1000</v>
      </c>
    </row>
    <row r="36" spans="1:8" ht="15" customHeight="1">
      <c r="B36" t="s">
        <v>23</v>
      </c>
      <c r="D36" s="4"/>
      <c r="E36" s="4"/>
      <c r="F36" s="4"/>
      <c r="G36" s="4"/>
      <c r="H36" s="25">
        <f>SUM(D36:G36)</f>
        <v>0</v>
      </c>
    </row>
    <row r="37" spans="1:8" ht="15" customHeight="1">
      <c r="B37" t="s">
        <v>24</v>
      </c>
      <c r="D37" s="4"/>
      <c r="E37" s="4"/>
      <c r="F37" s="4"/>
      <c r="G37" s="4"/>
      <c r="H37" s="25">
        <f>SUM(D37:G37)</f>
        <v>0</v>
      </c>
    </row>
    <row r="38" spans="1:8" ht="15" customHeight="1">
      <c r="A38" s="14"/>
      <c r="B38" s="14" t="s">
        <v>20</v>
      </c>
      <c r="C38" s="14"/>
      <c r="D38" s="26">
        <f>SUM(D34:D37)</f>
        <v>0</v>
      </c>
      <c r="E38" s="26">
        <f t="shared" ref="E38:G38" si="12">SUM(E34:E37)</f>
        <v>0</v>
      </c>
      <c r="F38" s="26">
        <f t="shared" si="12"/>
        <v>0</v>
      </c>
      <c r="G38" s="26">
        <f t="shared" si="12"/>
        <v>1000</v>
      </c>
      <c r="H38" s="26">
        <f>SUM(D38:G38)</f>
        <v>1000</v>
      </c>
    </row>
    <row r="39" spans="1:8" ht="15" customHeight="1">
      <c r="B39" t="s">
        <v>30</v>
      </c>
      <c r="D39" s="4">
        <v>1000</v>
      </c>
      <c r="E39" s="4"/>
      <c r="F39" s="4"/>
      <c r="G39" s="4"/>
      <c r="H39" s="25">
        <f>SUM(D39:G39)</f>
        <v>1000</v>
      </c>
    </row>
    <row r="40" spans="1:8" ht="15" customHeight="1">
      <c r="B40" t="s">
        <v>77</v>
      </c>
      <c r="D40" s="4">
        <v>1500</v>
      </c>
      <c r="E40" s="4"/>
      <c r="F40" s="4"/>
      <c r="G40" s="4"/>
      <c r="H40" s="25">
        <f>SUM(D40:G40)</f>
        <v>1500</v>
      </c>
    </row>
    <row r="41" spans="1:8" ht="15" customHeight="1">
      <c r="A41" s="14"/>
      <c r="B41" s="14" t="s">
        <v>80</v>
      </c>
      <c r="C41" s="14"/>
      <c r="D41" s="26">
        <f t="shared" ref="D41:G41" si="13">SUM(D39:D40)</f>
        <v>2500</v>
      </c>
      <c r="E41" s="26">
        <f t="shared" si="13"/>
        <v>0</v>
      </c>
      <c r="F41" s="26">
        <f t="shared" si="13"/>
        <v>0</v>
      </c>
      <c r="G41" s="26">
        <f t="shared" si="13"/>
        <v>0</v>
      </c>
      <c r="H41" s="26">
        <f>SUM(D41:G41)</f>
        <v>2500</v>
      </c>
    </row>
    <row r="42" spans="1:8">
      <c r="B42" t="s">
        <v>92</v>
      </c>
      <c r="D42" s="4"/>
      <c r="E42" s="4"/>
      <c r="F42" s="4"/>
      <c r="G42" s="4">
        <v>5000</v>
      </c>
      <c r="H42" s="25">
        <f>SUM(D42:G42)</f>
        <v>5000</v>
      </c>
    </row>
    <row r="43" spans="1:8">
      <c r="B43" s="14" t="s">
        <v>92</v>
      </c>
      <c r="D43" s="26">
        <f>SUM(D42)</f>
        <v>0</v>
      </c>
      <c r="E43" s="26">
        <f t="shared" ref="E43:G43" si="14">SUM(E42)</f>
        <v>0</v>
      </c>
      <c r="F43" s="26">
        <f t="shared" si="14"/>
        <v>0</v>
      </c>
      <c r="G43" s="26">
        <f t="shared" si="14"/>
        <v>5000</v>
      </c>
      <c r="H43" s="26">
        <f>SUM(D43:G43)</f>
        <v>5000</v>
      </c>
    </row>
    <row r="44" spans="1:8" ht="15" customHeight="1">
      <c r="B44" t="s">
        <v>56</v>
      </c>
      <c r="D44" s="4">
        <f>F86</f>
        <v>322100.34999999998</v>
      </c>
      <c r="E44" s="4">
        <f>F90</f>
        <v>19166.535</v>
      </c>
      <c r="F44" s="4">
        <f>F92</f>
        <v>29070</v>
      </c>
      <c r="G44" s="4">
        <f>F94</f>
        <v>70240.815000000002</v>
      </c>
      <c r="H44" s="25">
        <f>SUM(D44:G44)</f>
        <v>440577.69999999995</v>
      </c>
    </row>
    <row r="45" spans="1:8" ht="15" customHeight="1">
      <c r="B45" t="s">
        <v>34</v>
      </c>
      <c r="D45" s="4">
        <f>E86</f>
        <v>16952.650000000001</v>
      </c>
      <c r="E45" s="4">
        <f>E90</f>
        <v>1008.7650000000001</v>
      </c>
      <c r="F45" s="4">
        <f>E92</f>
        <v>1530</v>
      </c>
      <c r="G45" s="4">
        <f>E94</f>
        <v>3696.8850000000002</v>
      </c>
      <c r="H45" s="25">
        <f>SUM(D45:G45)</f>
        <v>23188.300000000003</v>
      </c>
    </row>
    <row r="46" spans="1:8" ht="15" customHeight="1">
      <c r="B46" t="s">
        <v>73</v>
      </c>
      <c r="D46" s="4"/>
      <c r="E46" s="4"/>
      <c r="F46" s="4">
        <v>10000</v>
      </c>
      <c r="G46" s="4">
        <v>28250</v>
      </c>
      <c r="H46" s="25">
        <f>SUM(D46:G46)</f>
        <v>38250</v>
      </c>
    </row>
    <row r="47" spans="1:8" ht="15" customHeight="1">
      <c r="A47" s="14"/>
      <c r="B47" s="14" t="s">
        <v>72</v>
      </c>
      <c r="C47" s="14"/>
      <c r="D47" s="26">
        <f t="shared" ref="D47:F47" si="15">SUM(D44:D46)</f>
        <v>339053</v>
      </c>
      <c r="E47" s="26">
        <f t="shared" si="15"/>
        <v>20175.3</v>
      </c>
      <c r="F47" s="26">
        <f t="shared" si="15"/>
        <v>40600</v>
      </c>
      <c r="G47" s="26">
        <f>SUM(G44:G46)</f>
        <v>102187.7</v>
      </c>
      <c r="H47" s="26">
        <f>SUM(D47:G47)</f>
        <v>502016</v>
      </c>
    </row>
    <row r="48" spans="1:8" ht="15" customHeight="1">
      <c r="B48" t="s">
        <v>14</v>
      </c>
      <c r="D48" s="4"/>
      <c r="E48" s="4"/>
      <c r="F48" s="4"/>
      <c r="G48" s="4">
        <v>4000</v>
      </c>
      <c r="H48" s="25">
        <f>SUM(D48:G48)</f>
        <v>4000</v>
      </c>
    </row>
    <row r="49" spans="1:8" ht="15" customHeight="1">
      <c r="A49" s="14"/>
      <c r="B49" s="14" t="s">
        <v>14</v>
      </c>
      <c r="C49" s="14"/>
      <c r="D49" s="26">
        <f t="shared" ref="D49:G49" si="16">D48</f>
        <v>0</v>
      </c>
      <c r="E49" s="26">
        <f t="shared" si="16"/>
        <v>0</v>
      </c>
      <c r="F49" s="26">
        <f t="shared" si="16"/>
        <v>0</v>
      </c>
      <c r="G49" s="26">
        <f t="shared" si="16"/>
        <v>4000</v>
      </c>
      <c r="H49" s="26">
        <f>SUM(D49:G49)</f>
        <v>4000</v>
      </c>
    </row>
    <row r="50" spans="1:8" ht="15" customHeight="1">
      <c r="B50" t="s">
        <v>32</v>
      </c>
      <c r="D50" s="4"/>
      <c r="E50" s="4"/>
      <c r="F50" s="4"/>
      <c r="G50" s="4"/>
      <c r="H50" s="25">
        <f>SUM(D50:G50)</f>
        <v>0</v>
      </c>
    </row>
    <row r="51" spans="1:8" ht="15" customHeight="1">
      <c r="B51" t="s">
        <v>7</v>
      </c>
      <c r="D51" s="4">
        <v>5000</v>
      </c>
      <c r="E51" s="4"/>
      <c r="F51" s="4"/>
      <c r="G51" s="4"/>
      <c r="H51" s="25">
        <f>SUM(D51:G51)</f>
        <v>5000</v>
      </c>
    </row>
    <row r="52" spans="1:8" ht="15" customHeight="1">
      <c r="B52" t="s">
        <v>8</v>
      </c>
      <c r="D52" s="4"/>
      <c r="E52" s="4"/>
      <c r="F52" s="4"/>
      <c r="G52" s="4">
        <v>5000</v>
      </c>
      <c r="H52" s="25"/>
    </row>
    <row r="53" spans="1:8" ht="15" customHeight="1">
      <c r="B53" t="s">
        <v>25</v>
      </c>
      <c r="D53" s="4"/>
      <c r="E53" s="4"/>
      <c r="F53" s="4"/>
      <c r="G53" s="4">
        <v>2500</v>
      </c>
      <c r="H53" s="25">
        <f>SUM(D53:G53)</f>
        <v>2500</v>
      </c>
    </row>
    <row r="54" spans="1:8" ht="15" customHeight="1">
      <c r="B54" t="s">
        <v>15</v>
      </c>
      <c r="D54" s="4"/>
      <c r="E54" s="4"/>
      <c r="F54" s="4"/>
      <c r="G54" s="4">
        <v>5000</v>
      </c>
      <c r="H54" s="25">
        <f>SUM(D54:G54)</f>
        <v>5000</v>
      </c>
    </row>
    <row r="55" spans="1:8" ht="15" customHeight="1">
      <c r="A55" s="14"/>
      <c r="B55" s="14" t="s">
        <v>49</v>
      </c>
      <c r="C55" s="14"/>
      <c r="D55" s="26">
        <f t="shared" ref="D55:G55" si="17">SUM(D50:D54)</f>
        <v>5000</v>
      </c>
      <c r="E55" s="26">
        <f t="shared" si="17"/>
        <v>0</v>
      </c>
      <c r="F55" s="26">
        <f t="shared" si="17"/>
        <v>0</v>
      </c>
      <c r="G55" s="26">
        <f t="shared" si="17"/>
        <v>12500</v>
      </c>
      <c r="H55" s="26">
        <f>SUM(D55:G55)</f>
        <v>17500</v>
      </c>
    </row>
    <row r="56" spans="1:8" ht="15" customHeight="1">
      <c r="B56" t="s">
        <v>75</v>
      </c>
      <c r="D56" s="4">
        <v>61200</v>
      </c>
      <c r="E56" s="4"/>
      <c r="F56" s="4"/>
      <c r="G56" s="4"/>
      <c r="H56" s="25">
        <f>SUM(D56:G56)</f>
        <v>61200</v>
      </c>
    </row>
    <row r="57" spans="1:8" ht="15" customHeight="1">
      <c r="B57" t="s">
        <v>76</v>
      </c>
      <c r="D57" s="4"/>
      <c r="E57" s="4"/>
      <c r="F57" s="4"/>
      <c r="G57" s="4">
        <v>3200</v>
      </c>
      <c r="H57" s="25">
        <f>SUM(D57:G57)</f>
        <v>3200</v>
      </c>
    </row>
    <row r="58" spans="1:8" ht="15" customHeight="1">
      <c r="A58" s="14"/>
      <c r="B58" s="14" t="s">
        <v>74</v>
      </c>
      <c r="C58" s="14"/>
      <c r="D58" s="26">
        <f t="shared" ref="D58:G58" si="18">SUM(D56:D57)</f>
        <v>61200</v>
      </c>
      <c r="E58" s="26">
        <f t="shared" si="18"/>
        <v>0</v>
      </c>
      <c r="F58" s="26">
        <f t="shared" si="18"/>
        <v>0</v>
      </c>
      <c r="G58" s="26">
        <f t="shared" si="18"/>
        <v>3200</v>
      </c>
      <c r="H58" s="26">
        <f>SUM(D58:G58)</f>
        <v>64400</v>
      </c>
    </row>
    <row r="59" spans="1:8" ht="15" customHeight="1">
      <c r="B59" t="s">
        <v>27</v>
      </c>
      <c r="D59" s="4"/>
      <c r="E59" s="4"/>
      <c r="F59" s="4"/>
      <c r="G59" s="4">
        <v>2500</v>
      </c>
      <c r="H59" s="25">
        <f>SUM(D59:G59)</f>
        <v>2500</v>
      </c>
    </row>
    <row r="60" spans="1:8" ht="15" customHeight="1">
      <c r="A60" s="14"/>
      <c r="B60" s="14" t="s">
        <v>26</v>
      </c>
      <c r="C60" s="14"/>
      <c r="D60" s="26">
        <f t="shared" ref="D60:G60" si="19">D59</f>
        <v>0</v>
      </c>
      <c r="E60" s="26">
        <f t="shared" si="19"/>
        <v>0</v>
      </c>
      <c r="F60" s="26">
        <f t="shared" si="19"/>
        <v>0</v>
      </c>
      <c r="G60" s="26">
        <f t="shared" si="19"/>
        <v>2500</v>
      </c>
      <c r="H60" s="26">
        <f>SUM(D60:G60)</f>
        <v>2500</v>
      </c>
    </row>
    <row r="61" spans="1:8">
      <c r="B61" t="s">
        <v>82</v>
      </c>
      <c r="D61" s="4">
        <v>60000</v>
      </c>
      <c r="E61" s="4"/>
      <c r="F61" s="4"/>
      <c r="G61" s="4"/>
      <c r="H61" s="25">
        <f>SUM(D61:G61)</f>
        <v>60000</v>
      </c>
    </row>
    <row r="62" spans="1:8">
      <c r="B62" t="s">
        <v>83</v>
      </c>
      <c r="D62" s="4">
        <v>200000</v>
      </c>
      <c r="E62" s="4">
        <v>80000</v>
      </c>
      <c r="F62" s="4"/>
      <c r="G62" s="4"/>
      <c r="H62" s="25">
        <f>SUM(D62:G62)</f>
        <v>280000</v>
      </c>
    </row>
    <row r="63" spans="1:8">
      <c r="B63" t="s">
        <v>84</v>
      </c>
      <c r="D63" s="4">
        <v>2500</v>
      </c>
      <c r="E63" s="4">
        <v>2500</v>
      </c>
      <c r="F63" s="4"/>
      <c r="G63" s="4"/>
      <c r="H63" s="25">
        <f>SUM(D63:G63)</f>
        <v>5000</v>
      </c>
    </row>
    <row r="64" spans="1:8">
      <c r="B64" t="s">
        <v>85</v>
      </c>
      <c r="D64" s="4"/>
      <c r="E64" s="4"/>
      <c r="F64" s="4">
        <v>2000</v>
      </c>
      <c r="G64" s="4"/>
      <c r="H64" s="25">
        <f>SUM(D64:G64)</f>
        <v>2000</v>
      </c>
    </row>
    <row r="65" spans="1:8">
      <c r="B65" s="14" t="s">
        <v>88</v>
      </c>
      <c r="D65" s="31">
        <f>SUM(D61:D64)</f>
        <v>262500</v>
      </c>
      <c r="E65" s="31">
        <f t="shared" ref="E65:G65" si="20">SUM(E61:E64)</f>
        <v>82500</v>
      </c>
      <c r="F65" s="31">
        <f t="shared" si="20"/>
        <v>2000</v>
      </c>
      <c r="G65" s="31">
        <f t="shared" si="20"/>
        <v>0</v>
      </c>
      <c r="H65" s="26">
        <f>SUM(D65:G65)</f>
        <v>347000</v>
      </c>
    </row>
    <row r="66" spans="1:8" ht="15" customHeight="1">
      <c r="B66" t="s">
        <v>8</v>
      </c>
      <c r="D66" s="4"/>
      <c r="E66" s="4"/>
      <c r="F66" s="4"/>
      <c r="G66" s="4"/>
      <c r="H66" s="25">
        <f>SUM(D66:G66)</f>
        <v>0</v>
      </c>
    </row>
    <row r="67" spans="1:8" ht="15" customHeight="1">
      <c r="B67" t="s">
        <v>28</v>
      </c>
      <c r="D67" s="4"/>
      <c r="E67" s="4"/>
      <c r="F67" s="4"/>
      <c r="G67" s="4"/>
      <c r="H67" s="25">
        <f>SUM(D67:G67)</f>
        <v>0</v>
      </c>
    </row>
    <row r="68" spans="1:8" ht="15" customHeight="1">
      <c r="B68" t="s">
        <v>33</v>
      </c>
      <c r="D68" s="4"/>
      <c r="E68" s="4"/>
      <c r="F68" s="4"/>
      <c r="G68" s="4"/>
      <c r="H68" s="25">
        <f>SUM(D68:G68)</f>
        <v>0</v>
      </c>
    </row>
    <row r="69" spans="1:8" ht="15" customHeight="1">
      <c r="B69" t="s">
        <v>29</v>
      </c>
      <c r="D69" s="4">
        <v>12500</v>
      </c>
      <c r="E69" s="4">
        <v>4000</v>
      </c>
      <c r="F69" s="4">
        <v>500</v>
      </c>
      <c r="G69" s="4"/>
      <c r="H69" s="25">
        <f>SUM(D69:G69)</f>
        <v>17000</v>
      </c>
    </row>
    <row r="70" spans="1:8" ht="15" customHeight="1">
      <c r="A70" s="14"/>
      <c r="B70" s="14" t="s">
        <v>79</v>
      </c>
      <c r="C70" s="14"/>
      <c r="D70" s="26">
        <f t="shared" ref="D70:G70" si="21">SUM(D66:D69)</f>
        <v>12500</v>
      </c>
      <c r="E70" s="26">
        <f t="shared" si="21"/>
        <v>4000</v>
      </c>
      <c r="F70" s="26">
        <f t="shared" si="21"/>
        <v>500</v>
      </c>
      <c r="G70" s="26">
        <f t="shared" si="21"/>
        <v>0</v>
      </c>
      <c r="H70" s="26">
        <f>SUM(D70:G70)</f>
        <v>17000</v>
      </c>
    </row>
    <row r="71" spans="1:8" ht="15" customHeight="1" thickBot="1">
      <c r="A71" s="27">
        <v>5999</v>
      </c>
      <c r="B71" s="27" t="s">
        <v>31</v>
      </c>
      <c r="C71" s="27"/>
      <c r="D71" s="28">
        <f t="shared" ref="D71:G71" si="22">D41+D65+D58+D60+D55+D49+D47+D38+D33+D31+D43+D70</f>
        <v>682753</v>
      </c>
      <c r="E71" s="28">
        <f t="shared" si="22"/>
        <v>106675.3</v>
      </c>
      <c r="F71" s="28">
        <f t="shared" si="22"/>
        <v>43100</v>
      </c>
      <c r="G71" s="28">
        <f t="shared" si="22"/>
        <v>160387.70000000001</v>
      </c>
      <c r="H71" s="29">
        <f>SUM(D71:G71)</f>
        <v>992916</v>
      </c>
    </row>
    <row r="72" spans="1:8" ht="15" customHeight="1"/>
    <row r="73" spans="1:8" ht="15" customHeight="1" thickBot="1">
      <c r="A73" s="32" t="s">
        <v>0</v>
      </c>
      <c r="B73" s="32" t="s">
        <v>5</v>
      </c>
      <c r="C73" s="33"/>
      <c r="D73" s="34">
        <f t="shared" ref="D73:G73" si="23">D27-D71</f>
        <v>210940</v>
      </c>
      <c r="E73" s="34">
        <f t="shared" si="23"/>
        <v>13324.699999999997</v>
      </c>
      <c r="F73" s="34">
        <f t="shared" si="23"/>
        <v>5561</v>
      </c>
      <c r="G73" s="34">
        <f t="shared" si="23"/>
        <v>-15924.700000000012</v>
      </c>
      <c r="H73" s="35">
        <f>SUM(D73:G73)</f>
        <v>213901</v>
      </c>
    </row>
    <row r="74" spans="1:8" ht="16" thickTop="1"/>
    <row r="75" spans="1:8">
      <c r="A75" t="s">
        <v>119</v>
      </c>
    </row>
    <row r="76" spans="1:8">
      <c r="B76" t="s">
        <v>99</v>
      </c>
      <c r="D76">
        <f>(455*7*71)+(11*3.5*71)</f>
        <v>228868.5</v>
      </c>
    </row>
    <row r="77" spans="1:8">
      <c r="B77" t="s">
        <v>100</v>
      </c>
      <c r="D77">
        <f>(523*7*104)+(110*3.5*104)</f>
        <v>420784</v>
      </c>
    </row>
    <row r="78" spans="1:8">
      <c r="B78" t="s">
        <v>101</v>
      </c>
      <c r="D78">
        <f>(7*105*104)</f>
        <v>76440</v>
      </c>
    </row>
    <row r="79" spans="1:8">
      <c r="B79" t="s">
        <v>102</v>
      </c>
      <c r="D79">
        <f>(7*75*104)</f>
        <v>54600</v>
      </c>
    </row>
    <row r="80" spans="1:8">
      <c r="B80" t="s">
        <v>103</v>
      </c>
      <c r="D80">
        <f>SUM(D76:D79)</f>
        <v>780692.5</v>
      </c>
    </row>
    <row r="81" spans="1:6">
      <c r="A81" t="s">
        <v>108</v>
      </c>
      <c r="E81" s="57" t="s">
        <v>115</v>
      </c>
      <c r="F81" s="57" t="s">
        <v>116</v>
      </c>
    </row>
    <row r="82" spans="1:6">
      <c r="B82" t="s">
        <v>104</v>
      </c>
      <c r="D82">
        <v>102500</v>
      </c>
      <c r="E82">
        <f>D82*0.05</f>
        <v>5125</v>
      </c>
      <c r="F82">
        <f>D82-E82</f>
        <v>97375</v>
      </c>
    </row>
    <row r="83" spans="1:6">
      <c r="B83" t="s">
        <v>105</v>
      </c>
      <c r="D83">
        <v>82400</v>
      </c>
      <c r="E83">
        <f>D83*0.05</f>
        <v>4120</v>
      </c>
      <c r="F83">
        <f>D83-E83</f>
        <v>78280</v>
      </c>
    </row>
    <row r="84" spans="1:6">
      <c r="B84" t="s">
        <v>106</v>
      </c>
      <c r="D84">
        <v>82153</v>
      </c>
      <c r="E84">
        <f>D84*0.05</f>
        <v>4107.6500000000005</v>
      </c>
      <c r="F84">
        <f>D84-E84</f>
        <v>78045.350000000006</v>
      </c>
    </row>
    <row r="85" spans="1:6">
      <c r="B85" t="s">
        <v>110</v>
      </c>
      <c r="D85">
        <v>72000</v>
      </c>
      <c r="E85">
        <f>D85*0.05</f>
        <v>3600</v>
      </c>
      <c r="F85">
        <f>D85-E85</f>
        <v>68400</v>
      </c>
    </row>
    <row r="86" spans="1:6">
      <c r="B86" t="s">
        <v>118</v>
      </c>
      <c r="D86">
        <f>SUM(D82:D85)</f>
        <v>339053</v>
      </c>
      <c r="E86">
        <f>SUM(E82:E85)</f>
        <v>16952.650000000001</v>
      </c>
      <c r="F86">
        <f>SUM(F82:F85)</f>
        <v>322100.34999999998</v>
      </c>
    </row>
    <row r="87" spans="1:6">
      <c r="A87" t="s">
        <v>109</v>
      </c>
    </row>
    <row r="88" spans="1:6">
      <c r="B88" t="s">
        <v>111</v>
      </c>
      <c r="D88">
        <f>82153*0.1</f>
        <v>8215.3000000000011</v>
      </c>
      <c r="E88">
        <f>D88*0.05</f>
        <v>410.7650000000001</v>
      </c>
      <c r="F88">
        <f>D88-E88</f>
        <v>7804.5350000000008</v>
      </c>
    </row>
    <row r="89" spans="1:6">
      <c r="B89" t="s">
        <v>114</v>
      </c>
      <c r="D89">
        <v>11960</v>
      </c>
      <c r="E89">
        <f>D89*0.05</f>
        <v>598</v>
      </c>
      <c r="F89">
        <f>D89-E89</f>
        <v>11362</v>
      </c>
    </row>
    <row r="90" spans="1:6">
      <c r="B90" t="s">
        <v>118</v>
      </c>
      <c r="D90">
        <f>SUM(D88:D89)</f>
        <v>20175.300000000003</v>
      </c>
      <c r="E90">
        <f>SUM(E88:E89)</f>
        <v>1008.7650000000001</v>
      </c>
      <c r="F90">
        <f>SUM(F88:F89)</f>
        <v>19166.535</v>
      </c>
    </row>
    <row r="91" spans="1:6">
      <c r="A91" t="s">
        <v>112</v>
      </c>
    </row>
    <row r="92" spans="1:6">
      <c r="B92" t="s">
        <v>107</v>
      </c>
      <c r="D92">
        <v>30600</v>
      </c>
      <c r="E92">
        <f>D92*0.05</f>
        <v>1530</v>
      </c>
      <c r="F92">
        <f>D92-E92</f>
        <v>29070</v>
      </c>
    </row>
    <row r="93" spans="1:6">
      <c r="A93" t="s">
        <v>117</v>
      </c>
    </row>
    <row r="94" spans="1:6">
      <c r="B94" t="s">
        <v>113</v>
      </c>
      <c r="D94">
        <f>82153*0.9</f>
        <v>73937.7</v>
      </c>
      <c r="E94">
        <f>D94*0.05</f>
        <v>3696.8850000000002</v>
      </c>
      <c r="F94">
        <f>D94-E94</f>
        <v>70240.815000000002</v>
      </c>
    </row>
    <row r="95" spans="1:6">
      <c r="A95" t="s">
        <v>120</v>
      </c>
    </row>
    <row r="96" spans="1:6">
      <c r="B96" t="s">
        <v>121</v>
      </c>
      <c r="D96">
        <v>3250</v>
      </c>
      <c r="E96" t="s">
        <v>127</v>
      </c>
    </row>
    <row r="97" spans="2:5">
      <c r="B97" t="s">
        <v>122</v>
      </c>
      <c r="D97">
        <v>5000</v>
      </c>
      <c r="E97" t="s">
        <v>127</v>
      </c>
    </row>
    <row r="98" spans="2:5">
      <c r="B98" t="s">
        <v>123</v>
      </c>
      <c r="D98">
        <v>19000</v>
      </c>
      <c r="E98" t="s">
        <v>126</v>
      </c>
    </row>
    <row r="99" spans="2:5">
      <c r="B99" t="s">
        <v>124</v>
      </c>
      <c r="D99">
        <v>10000</v>
      </c>
      <c r="E99" t="s">
        <v>126</v>
      </c>
    </row>
    <row r="100" spans="2:5">
      <c r="B100" t="s">
        <v>125</v>
      </c>
      <c r="D100">
        <v>20000</v>
      </c>
      <c r="E100" t="s">
        <v>127</v>
      </c>
    </row>
  </sheetData>
  <sheetProtection selectLockedCells="1"/>
  <phoneticPr fontId="14" type="noConversion"/>
  <pageMargins left="0.7" right="0.7" top="0.75" bottom="0.75" header="0.3" footer="0.3"/>
  <pageSetup scale="58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3"/>
  <sheetViews>
    <sheetView showGridLines="0" tabSelected="1" workbookViewId="0">
      <selection activeCell="L34" sqref="L34"/>
    </sheetView>
  </sheetViews>
  <sheetFormatPr baseColWidth="10" defaultColWidth="9" defaultRowHeight="15"/>
  <cols>
    <col min="1" max="1" width="5" customWidth="1"/>
    <col min="2" max="2" width="35.1640625" customWidth="1"/>
    <col min="3" max="3" width="2.6640625" customWidth="1"/>
    <col min="4" max="4" width="12.83203125" customWidth="1"/>
    <col min="5" max="8" width="12.6640625" customWidth="1"/>
  </cols>
  <sheetData>
    <row r="1" spans="1:9" ht="15" customHeight="1"/>
    <row r="2" spans="1:9" ht="15" customHeight="1">
      <c r="A2" s="36" t="str">
        <f>'Annual Budget'!A2</f>
        <v>Annual Budget 2024</v>
      </c>
    </row>
    <row r="3" spans="1:9" ht="15" customHeight="1">
      <c r="A3" s="18" t="str">
        <f>'Annual Budget'!A3</f>
        <v>For the Year Ending June 30, 2024</v>
      </c>
    </row>
    <row r="4" spans="1:9" ht="15" customHeight="1"/>
    <row r="5" spans="1:9" ht="30" customHeight="1">
      <c r="A5" s="37"/>
      <c r="B5" s="38" t="s">
        <v>39</v>
      </c>
      <c r="C5" s="22"/>
      <c r="D5" s="23" t="str">
        <f>'Annual Budget'!D5</f>
        <v>Kitchen</v>
      </c>
      <c r="E5" s="23" t="str">
        <f>'Annual Budget'!E5</f>
        <v>FAD</v>
      </c>
      <c r="F5" s="22" t="str">
        <f>'Annual Budget'!F5</f>
        <v>Literacy</v>
      </c>
      <c r="G5" s="22" t="str">
        <f>'Annual Budget'!G5</f>
        <v>Admin</v>
      </c>
      <c r="H5" s="22" t="s">
        <v>31</v>
      </c>
      <c r="I5" s="39" t="s">
        <v>50</v>
      </c>
    </row>
    <row r="6" spans="1:9" ht="15" customHeight="1">
      <c r="B6" s="40" t="s">
        <v>69</v>
      </c>
      <c r="D6" s="41">
        <f>'Annual Budget'!D7</f>
        <v>780693</v>
      </c>
      <c r="E6" s="41">
        <f>'Annual Budget'!E7</f>
        <v>0</v>
      </c>
      <c r="F6" s="41">
        <f>'Annual Budget'!F7</f>
        <v>37000</v>
      </c>
      <c r="G6" s="41">
        <f>'Annual Budget'!G7</f>
        <v>39600</v>
      </c>
      <c r="H6" s="41">
        <f>'Annual Budget'!H7</f>
        <v>857293</v>
      </c>
      <c r="I6" s="42">
        <f t="shared" ref="I6:I14" si="0">IFERROR(H6/$H$14," ")</f>
        <v>0.71037530959540673</v>
      </c>
    </row>
    <row r="7" spans="1:9" ht="15" customHeight="1">
      <c r="B7" s="40" t="s">
        <v>6</v>
      </c>
      <c r="D7" s="41">
        <f>'Annual Budget'!D9</f>
        <v>0</v>
      </c>
      <c r="E7" s="41">
        <f>'Annual Budget'!E9</f>
        <v>0</v>
      </c>
      <c r="F7" s="41">
        <f>'Annual Budget'!F9</f>
        <v>0</v>
      </c>
      <c r="G7" s="41">
        <f>'Annual Budget'!G9</f>
        <v>0</v>
      </c>
      <c r="H7" s="41">
        <f>'Annual Budget'!H9</f>
        <v>0</v>
      </c>
      <c r="I7" s="42">
        <f t="shared" si="0"/>
        <v>0</v>
      </c>
    </row>
    <row r="8" spans="1:9" ht="15" customHeight="1">
      <c r="B8" s="40" t="s">
        <v>90</v>
      </c>
      <c r="D8" s="41">
        <f>'Annual Budget'!D11</f>
        <v>0</v>
      </c>
      <c r="E8" s="41">
        <f>'Annual Budget'!E11</f>
        <v>0</v>
      </c>
      <c r="F8" s="41">
        <f>'Annual Budget'!F11</f>
        <v>0</v>
      </c>
      <c r="G8" s="41">
        <f>'Annual Budget'!G11</f>
        <v>0</v>
      </c>
      <c r="H8" s="41">
        <f>'Annual Budget'!H11</f>
        <v>0</v>
      </c>
      <c r="I8" s="42">
        <f t="shared" si="0"/>
        <v>0</v>
      </c>
    </row>
    <row r="9" spans="1:9" ht="15" customHeight="1">
      <c r="B9" s="40" t="s">
        <v>17</v>
      </c>
      <c r="D9" s="41">
        <f>'Annual Budget'!D17</f>
        <v>90000</v>
      </c>
      <c r="E9" s="41">
        <f>'Annual Budget'!E17</f>
        <v>120000</v>
      </c>
      <c r="F9" s="41">
        <f>'Annual Budget'!F17</f>
        <v>11661</v>
      </c>
      <c r="G9" s="41">
        <f>'Annual Budget'!G17</f>
        <v>100863</v>
      </c>
      <c r="H9" s="41">
        <f>'Annual Budget'!H17</f>
        <v>322524</v>
      </c>
      <c r="I9" s="42">
        <f t="shared" si="0"/>
        <v>0.26725178713922659</v>
      </c>
    </row>
    <row r="10" spans="1:9" ht="15" customHeight="1">
      <c r="B10" s="40" t="s">
        <v>86</v>
      </c>
      <c r="D10" s="41">
        <f>'Annual Budget'!D20</f>
        <v>0</v>
      </c>
      <c r="E10" s="41">
        <f>'Annual Budget'!E20</f>
        <v>0</v>
      </c>
      <c r="F10" s="41">
        <f>'Annual Budget'!F20</f>
        <v>0</v>
      </c>
      <c r="G10" s="41">
        <f>'Annual Budget'!G20</f>
        <v>4000</v>
      </c>
      <c r="H10" s="41">
        <f>'Annual Budget'!H20</f>
        <v>4000</v>
      </c>
      <c r="I10" s="42">
        <f t="shared" si="0"/>
        <v>3.3145041874617278E-3</v>
      </c>
    </row>
    <row r="11" spans="1:9" ht="15" customHeight="1">
      <c r="B11" s="40" t="s">
        <v>91</v>
      </c>
      <c r="D11" s="41">
        <f>'Annual Budget'!D22</f>
        <v>0</v>
      </c>
      <c r="E11" s="41">
        <f>'Annual Budget'!E22</f>
        <v>0</v>
      </c>
      <c r="F11" s="41">
        <f>'Annual Budget'!F22</f>
        <v>0</v>
      </c>
      <c r="G11" s="41">
        <f>'Annual Budget'!G22</f>
        <v>0</v>
      </c>
      <c r="H11" s="41">
        <f>'Annual Budget'!H22</f>
        <v>0</v>
      </c>
      <c r="I11" s="42">
        <f t="shared" si="0"/>
        <v>0</v>
      </c>
    </row>
    <row r="12" spans="1:9" ht="15" customHeight="1">
      <c r="B12" s="40" t="s">
        <v>68</v>
      </c>
      <c r="D12" s="41">
        <f>'Annual Budget'!D24</f>
        <v>18000</v>
      </c>
      <c r="E12" s="41">
        <f>'Annual Budget'!E24</f>
        <v>0</v>
      </c>
      <c r="F12" s="41">
        <f>'Annual Budget'!F24</f>
        <v>0</v>
      </c>
      <c r="G12" s="41">
        <f>'Annual Budget'!G24</f>
        <v>0</v>
      </c>
      <c r="H12" s="41">
        <f>'Annual Budget'!H24</f>
        <v>18000</v>
      </c>
      <c r="I12" s="42">
        <f t="shared" si="0"/>
        <v>1.4915268843577776E-2</v>
      </c>
    </row>
    <row r="13" spans="1:9" ht="15" customHeight="1">
      <c r="B13" s="40" t="s">
        <v>1</v>
      </c>
      <c r="D13" s="41">
        <f>'Annual Budget'!D26</f>
        <v>5000</v>
      </c>
      <c r="E13" s="41">
        <f>'Annual Budget'!E26</f>
        <v>0</v>
      </c>
      <c r="F13" s="41">
        <f>'Annual Budget'!F26</f>
        <v>0</v>
      </c>
      <c r="G13" s="41">
        <f>'Annual Budget'!G26</f>
        <v>0</v>
      </c>
      <c r="H13" s="41">
        <f>'Annual Budget'!H26</f>
        <v>5000</v>
      </c>
      <c r="I13" s="42">
        <f t="shared" si="0"/>
        <v>4.1431302343271602E-3</v>
      </c>
    </row>
    <row r="14" spans="1:9" ht="15" customHeight="1" thickBot="1">
      <c r="B14" s="43" t="s">
        <v>38</v>
      </c>
      <c r="C14" s="27"/>
      <c r="D14" s="28">
        <f>'Annual Budget'!D27</f>
        <v>893693</v>
      </c>
      <c r="E14" s="28">
        <f>'Annual Budget'!E27</f>
        <v>120000</v>
      </c>
      <c r="F14" s="28">
        <f>'Annual Budget'!F27</f>
        <v>48661</v>
      </c>
      <c r="G14" s="28">
        <f>'Annual Budget'!G27</f>
        <v>144463</v>
      </c>
      <c r="H14" s="28">
        <f>'Annual Budget'!H27</f>
        <v>1206817</v>
      </c>
      <c r="I14" s="44">
        <f t="shared" si="0"/>
        <v>1</v>
      </c>
    </row>
    <row r="15" spans="1:9" ht="15" customHeight="1">
      <c r="B15" s="45" t="s">
        <v>50</v>
      </c>
      <c r="C15" s="14"/>
      <c r="D15" s="46">
        <f>IFERROR(D14/$H$14," ")</f>
        <v>0.74053729770130849</v>
      </c>
      <c r="E15" s="46">
        <f>IFERROR(E14/$H$14," ")</f>
        <v>9.9435125623851831E-2</v>
      </c>
      <c r="F15" s="46">
        <f>IFERROR(F14/$H$14," ")</f>
        <v>4.0321772066518782E-2</v>
      </c>
      <c r="G15" s="46">
        <f>IFERROR(G14/$H$14," ")</f>
        <v>0.11970580460832089</v>
      </c>
      <c r="H15" s="46">
        <f>IFERROR(H14/$H$14," ")</f>
        <v>1</v>
      </c>
      <c r="I15" s="47"/>
    </row>
    <row r="16" spans="1:9" ht="15" customHeight="1">
      <c r="I16" s="47"/>
    </row>
    <row r="17" spans="1:9" ht="30" customHeight="1">
      <c r="A17" s="37"/>
      <c r="B17" s="38" t="s">
        <v>3</v>
      </c>
      <c r="C17" s="48"/>
      <c r="D17" s="23" t="str">
        <f>D5</f>
        <v>Kitchen</v>
      </c>
      <c r="E17" s="23" t="str">
        <f t="shared" ref="E17:H17" si="1">E5</f>
        <v>FAD</v>
      </c>
      <c r="F17" s="23" t="str">
        <f t="shared" si="1"/>
        <v>Literacy</v>
      </c>
      <c r="G17" s="23" t="str">
        <f t="shared" si="1"/>
        <v>Admin</v>
      </c>
      <c r="H17" s="23" t="str">
        <f t="shared" si="1"/>
        <v>Total</v>
      </c>
      <c r="I17" s="39" t="s">
        <v>50</v>
      </c>
    </row>
    <row r="18" spans="1:9" ht="15" customHeight="1">
      <c r="B18" s="40" t="s">
        <v>44</v>
      </c>
      <c r="D18" s="41">
        <f>'Annual Budget'!D31</f>
        <v>0</v>
      </c>
      <c r="E18" s="41">
        <f>'Annual Budget'!E31</f>
        <v>0</v>
      </c>
      <c r="F18" s="41">
        <f>'Annual Budget'!F31</f>
        <v>0</v>
      </c>
      <c r="G18" s="41">
        <f>'Annual Budget'!G31</f>
        <v>30000</v>
      </c>
      <c r="H18" s="41">
        <f>'Annual Budget'!H31</f>
        <v>30000</v>
      </c>
      <c r="I18" s="42">
        <f t="shared" ref="I18:I30" si="2">IFERROR(H18/$H$14," ")</f>
        <v>2.4858781405962958E-2</v>
      </c>
    </row>
    <row r="19" spans="1:9" ht="15" customHeight="1">
      <c r="B19" s="40" t="s">
        <v>4</v>
      </c>
      <c r="D19" s="41">
        <f>'Annual Budget'!D33</f>
        <v>0</v>
      </c>
      <c r="E19" s="41">
        <f>'Annual Budget'!E33</f>
        <v>0</v>
      </c>
      <c r="F19" s="41">
        <f>'Annual Budget'!F33</f>
        <v>0</v>
      </c>
      <c r="G19" s="41">
        <f>'Annual Budget'!G33</f>
        <v>0</v>
      </c>
      <c r="H19" s="41">
        <f>'Annual Budget'!H33</f>
        <v>0</v>
      </c>
      <c r="I19" s="42">
        <f t="shared" si="2"/>
        <v>0</v>
      </c>
    </row>
    <row r="20" spans="1:9" ht="15" customHeight="1">
      <c r="B20" s="40" t="s">
        <v>48</v>
      </c>
      <c r="D20" s="41">
        <f>'Annual Budget'!D38</f>
        <v>0</v>
      </c>
      <c r="E20" s="41">
        <f>'Annual Budget'!E38</f>
        <v>0</v>
      </c>
      <c r="F20" s="41">
        <f>'Annual Budget'!F38</f>
        <v>0</v>
      </c>
      <c r="G20" s="41">
        <f>'Annual Budget'!G38</f>
        <v>1000</v>
      </c>
      <c r="H20" s="41">
        <f>'Annual Budget'!H38</f>
        <v>1000</v>
      </c>
      <c r="I20" s="42">
        <f t="shared" si="2"/>
        <v>8.2862604686543195E-4</v>
      </c>
    </row>
    <row r="21" spans="1:9" ht="15" customHeight="1">
      <c r="B21" s="40" t="s">
        <v>87</v>
      </c>
      <c r="D21" s="41">
        <f>'Annual Budget'!D41</f>
        <v>2500</v>
      </c>
      <c r="E21" s="41">
        <f>'Annual Budget'!E41</f>
        <v>0</v>
      </c>
      <c r="F21" s="41">
        <f>'Annual Budget'!F41</f>
        <v>0</v>
      </c>
      <c r="G21" s="41">
        <f>'Annual Budget'!G41</f>
        <v>0</v>
      </c>
      <c r="H21" s="41">
        <f>'Annual Budget'!H41</f>
        <v>2500</v>
      </c>
      <c r="I21" s="42">
        <f t="shared" si="2"/>
        <v>2.0715651171635801E-3</v>
      </c>
    </row>
    <row r="22" spans="1:9" ht="15" customHeight="1">
      <c r="B22" s="40" t="s">
        <v>92</v>
      </c>
      <c r="D22" s="41">
        <f>'Annual Budget'!D43</f>
        <v>0</v>
      </c>
      <c r="E22" s="41">
        <f>'Annual Budget'!E43</f>
        <v>0</v>
      </c>
      <c r="F22" s="41">
        <f>'Annual Budget'!F43</f>
        <v>0</v>
      </c>
      <c r="G22" s="41">
        <f>'Annual Budget'!G43</f>
        <v>5000</v>
      </c>
      <c r="H22" s="41">
        <f>'Annual Budget'!H43</f>
        <v>5000</v>
      </c>
      <c r="I22" s="42">
        <f>IFERROR(H22/$H$14," ")</f>
        <v>4.1431302343271602E-3</v>
      </c>
    </row>
    <row r="23" spans="1:9" ht="15" customHeight="1">
      <c r="B23" s="40" t="s">
        <v>72</v>
      </c>
      <c r="D23" s="41">
        <f>'Annual Budget'!D47</f>
        <v>339053</v>
      </c>
      <c r="E23" s="41">
        <f>'Annual Budget'!E47</f>
        <v>20175.3</v>
      </c>
      <c r="F23" s="41">
        <f>'Annual Budget'!F47</f>
        <v>40600</v>
      </c>
      <c r="G23" s="41">
        <f>'Annual Budget'!G47</f>
        <v>102187.7</v>
      </c>
      <c r="H23" s="41">
        <f>'Annual Budget'!H47</f>
        <v>502016</v>
      </c>
      <c r="I23" s="42">
        <f t="shared" si="2"/>
        <v>0.41598353354319667</v>
      </c>
    </row>
    <row r="24" spans="1:9" ht="15" customHeight="1">
      <c r="B24" s="40" t="s">
        <v>14</v>
      </c>
      <c r="D24" s="41">
        <f>'Annual Budget'!D49</f>
        <v>0</v>
      </c>
      <c r="E24" s="41">
        <f>'Annual Budget'!E49</f>
        <v>0</v>
      </c>
      <c r="F24" s="41">
        <f>'Annual Budget'!F49</f>
        <v>0</v>
      </c>
      <c r="G24" s="41">
        <f>'Annual Budget'!G49</f>
        <v>4000</v>
      </c>
      <c r="H24" s="41">
        <f>'Annual Budget'!H49</f>
        <v>4000</v>
      </c>
      <c r="I24" s="42">
        <f t="shared" si="2"/>
        <v>3.3145041874617278E-3</v>
      </c>
    </row>
    <row r="25" spans="1:9" ht="15" customHeight="1">
      <c r="B25" s="40" t="s">
        <v>47</v>
      </c>
      <c r="D25" s="41">
        <f>'Annual Budget'!D55</f>
        <v>5000</v>
      </c>
      <c r="E25" s="41">
        <f>'Annual Budget'!E55</f>
        <v>0</v>
      </c>
      <c r="F25" s="41">
        <f>'Annual Budget'!F55</f>
        <v>0</v>
      </c>
      <c r="G25" s="41">
        <f>'Annual Budget'!G55</f>
        <v>12500</v>
      </c>
      <c r="H25" s="41">
        <f>'Annual Budget'!H55</f>
        <v>17500</v>
      </c>
      <c r="I25" s="42">
        <f t="shared" si="2"/>
        <v>1.4500955820145059E-2</v>
      </c>
    </row>
    <row r="26" spans="1:9" ht="15" customHeight="1">
      <c r="B26" s="40" t="s">
        <v>74</v>
      </c>
      <c r="D26" s="41">
        <f>'Annual Budget'!D58</f>
        <v>61200</v>
      </c>
      <c r="E26" s="41">
        <f>'Annual Budget'!E58</f>
        <v>0</v>
      </c>
      <c r="F26" s="41">
        <f>'Annual Budget'!F58</f>
        <v>0</v>
      </c>
      <c r="G26" s="41">
        <f>'Annual Budget'!G58</f>
        <v>3200</v>
      </c>
      <c r="H26" s="41">
        <f>'Annual Budget'!H58</f>
        <v>64400</v>
      </c>
      <c r="I26" s="42">
        <f t="shared" si="2"/>
        <v>5.3363517418133818E-2</v>
      </c>
    </row>
    <row r="27" spans="1:9" ht="15" customHeight="1">
      <c r="B27" s="40" t="s">
        <v>26</v>
      </c>
      <c r="D27" s="41">
        <f>'Annual Budget'!D60</f>
        <v>0</v>
      </c>
      <c r="E27" s="41">
        <f>'Annual Budget'!E60</f>
        <v>0</v>
      </c>
      <c r="F27" s="41">
        <f>'Annual Budget'!F60</f>
        <v>0</v>
      </c>
      <c r="G27" s="41">
        <f>'Annual Budget'!G60</f>
        <v>2500</v>
      </c>
      <c r="H27" s="41">
        <f>'Annual Budget'!H60</f>
        <v>2500</v>
      </c>
      <c r="I27" s="42">
        <f t="shared" si="2"/>
        <v>2.0715651171635801E-3</v>
      </c>
    </row>
    <row r="28" spans="1:9" ht="15" customHeight="1">
      <c r="B28" s="40" t="s">
        <v>78</v>
      </c>
      <c r="D28" s="41">
        <f>'Annual Budget'!D65</f>
        <v>262500</v>
      </c>
      <c r="E28" s="41">
        <f>'Annual Budget'!E65</f>
        <v>82500</v>
      </c>
      <c r="F28" s="41">
        <f>'Annual Budget'!F65</f>
        <v>2000</v>
      </c>
      <c r="G28" s="41">
        <f>'Annual Budget'!G65</f>
        <v>0</v>
      </c>
      <c r="H28" s="41">
        <f>'Annual Budget'!H65</f>
        <v>347000</v>
      </c>
      <c r="I28" s="42">
        <f t="shared" si="2"/>
        <v>0.28753323826230487</v>
      </c>
    </row>
    <row r="29" spans="1:9" ht="15" customHeight="1">
      <c r="B29" s="40" t="s">
        <v>16</v>
      </c>
      <c r="D29" s="41">
        <f>'Annual Budget'!D70</f>
        <v>12500</v>
      </c>
      <c r="E29" s="41">
        <f>'Annual Budget'!E70</f>
        <v>4000</v>
      </c>
      <c r="F29" s="41">
        <f>'Annual Budget'!F70</f>
        <v>500</v>
      </c>
      <c r="G29" s="41">
        <f>'Annual Budget'!G70</f>
        <v>0</v>
      </c>
      <c r="H29" s="41">
        <f>'Annual Budget'!H70</f>
        <v>17000</v>
      </c>
      <c r="I29" s="42">
        <f t="shared" si="2"/>
        <v>1.4086642796712344E-2</v>
      </c>
    </row>
    <row r="30" spans="1:9" ht="15" customHeight="1" thickBot="1">
      <c r="B30" s="43" t="s">
        <v>9</v>
      </c>
      <c r="C30" s="27"/>
      <c r="D30" s="28">
        <f>'Annual Budget'!D71</f>
        <v>682753</v>
      </c>
      <c r="E30" s="28">
        <f>'Annual Budget'!E71</f>
        <v>106675.3</v>
      </c>
      <c r="F30" s="28">
        <f>'Annual Budget'!F71</f>
        <v>43100</v>
      </c>
      <c r="G30" s="28">
        <f>'Annual Budget'!G71</f>
        <v>160387.70000000001</v>
      </c>
      <c r="H30" s="28">
        <f>'Annual Budget'!H71</f>
        <v>992916</v>
      </c>
      <c r="I30" s="44">
        <f t="shared" si="2"/>
        <v>0.82275605994943724</v>
      </c>
    </row>
    <row r="31" spans="1:9" ht="15" customHeight="1">
      <c r="B31" s="36"/>
      <c r="I31" s="47"/>
    </row>
    <row r="32" spans="1:9" ht="15" customHeight="1" thickBot="1">
      <c r="B32" s="49" t="s">
        <v>5</v>
      </c>
      <c r="C32" s="33"/>
      <c r="D32" s="34">
        <f>'Annual Budget'!D73</f>
        <v>210940</v>
      </c>
      <c r="E32" s="34">
        <f>'Annual Budget'!E73</f>
        <v>13324.699999999997</v>
      </c>
      <c r="F32" s="34">
        <f>'Annual Budget'!F73</f>
        <v>5561</v>
      </c>
      <c r="G32" s="34">
        <f>'Annual Budget'!G73</f>
        <v>-15924.700000000012</v>
      </c>
      <c r="H32" s="34">
        <f>'Annual Budget'!H73</f>
        <v>213901</v>
      </c>
      <c r="I32" s="50">
        <f>IFERROR(H32/$H$14," ")</f>
        <v>0.17724394005056276</v>
      </c>
    </row>
    <row r="33" spans="2:8" ht="17" thickTop="1">
      <c r="B33" s="45"/>
      <c r="C33" s="14"/>
      <c r="D33" s="46"/>
      <c r="E33" s="46"/>
      <c r="F33" s="46"/>
      <c r="G33" s="46"/>
      <c r="H33" s="46"/>
    </row>
  </sheetData>
  <sheetProtection selectLockedCells="1"/>
  <phoneticPr fontId="14" type="noConversion"/>
  <pageMargins left="0.7" right="0.7" top="0.75" bottom="0.75" header="0.3" footer="0.3"/>
  <pageSetup scale="5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3"/>
  <sheetViews>
    <sheetView showGridLines="0" workbookViewId="0">
      <selection activeCell="D18" sqref="D18:D29"/>
    </sheetView>
  </sheetViews>
  <sheetFormatPr baseColWidth="10" defaultColWidth="9" defaultRowHeight="15"/>
  <cols>
    <col min="1" max="1" width="4.6640625" customWidth="1"/>
    <col min="2" max="2" width="28.1640625" bestFit="1" customWidth="1"/>
    <col min="3" max="3" width="2.6640625" customWidth="1"/>
    <col min="4" max="8" width="15.6640625" customWidth="1"/>
    <col min="10" max="11" width="13.6640625" customWidth="1"/>
  </cols>
  <sheetData>
    <row r="1" spans="1:8" ht="23" customHeight="1">
      <c r="A1" s="84" t="s">
        <v>96</v>
      </c>
      <c r="B1" s="61"/>
      <c r="C1" s="61"/>
      <c r="D1" s="61"/>
      <c r="E1" s="61"/>
      <c r="F1" s="61"/>
      <c r="G1" s="61"/>
      <c r="H1" s="61"/>
    </row>
    <row r="2" spans="1:8" ht="20" customHeight="1">
      <c r="A2" s="62" t="s">
        <v>41</v>
      </c>
      <c r="B2" s="63"/>
      <c r="C2" s="64"/>
      <c r="D2" s="61"/>
      <c r="E2" s="61"/>
      <c r="F2" s="61"/>
      <c r="G2" s="61"/>
      <c r="H2" s="61"/>
    </row>
    <row r="3" spans="1:8" ht="20" customHeight="1">
      <c r="A3" s="65" t="str">
        <f>CONCATENATE("For the Quarter Ending ", 'Control Panel'!F4," ",  'Control Panel'!C4-1)</f>
        <v>For the Quarter Ending September 30,  2023</v>
      </c>
      <c r="B3" s="66"/>
      <c r="C3" s="66"/>
      <c r="D3" s="61"/>
      <c r="E3" s="61"/>
      <c r="F3" s="61"/>
      <c r="G3" s="61"/>
      <c r="H3" s="61"/>
    </row>
    <row r="4" spans="1:8" ht="22.25" customHeight="1">
      <c r="A4" s="61"/>
      <c r="B4" s="61"/>
      <c r="C4" s="61"/>
      <c r="D4" s="61"/>
      <c r="E4" s="61"/>
      <c r="F4" s="61"/>
      <c r="G4" s="61"/>
      <c r="H4" s="61"/>
    </row>
    <row r="5" spans="1:8" ht="15" customHeight="1">
      <c r="A5" s="61"/>
      <c r="B5" s="61"/>
      <c r="C5" s="61"/>
      <c r="D5" s="67" t="s">
        <v>36</v>
      </c>
      <c r="E5" s="67" t="s">
        <v>35</v>
      </c>
      <c r="F5" s="67" t="s">
        <v>40</v>
      </c>
      <c r="G5" s="67" t="s">
        <v>45</v>
      </c>
      <c r="H5" s="67" t="str">
        <f>CONCATENATE('Control Panel'!C4," ", "Total Budget")</f>
        <v>2024 Total Budget</v>
      </c>
    </row>
    <row r="6" spans="1:8" ht="15" customHeight="1">
      <c r="A6" s="61"/>
      <c r="B6" s="68" t="s">
        <v>39</v>
      </c>
      <c r="C6" s="61"/>
      <c r="D6" s="63"/>
      <c r="E6" s="63"/>
      <c r="F6" s="63"/>
      <c r="G6" s="63"/>
      <c r="H6" s="63"/>
    </row>
    <row r="7" spans="1:8" ht="15" customHeight="1">
      <c r="A7" s="61"/>
      <c r="B7" s="69" t="str">
        <f>'Presentation Budget'!B6</f>
        <v>Contracts</v>
      </c>
      <c r="C7" s="61"/>
      <c r="D7" s="70"/>
      <c r="E7" s="71">
        <f>H7*'Control Panel'!$F$5</f>
        <v>85729.3</v>
      </c>
      <c r="F7" s="71">
        <f>D7-E7</f>
        <v>-85729.3</v>
      </c>
      <c r="G7" s="72">
        <f>IFERROR((D7-E7)/E7,0)</f>
        <v>-1</v>
      </c>
      <c r="H7" s="71">
        <f>'Presentation Budget'!H6</f>
        <v>857293</v>
      </c>
    </row>
    <row r="8" spans="1:8" ht="15" customHeight="1">
      <c r="A8" s="61"/>
      <c r="B8" s="69" t="str">
        <f>'Presentation Budget'!B7</f>
        <v>Donations</v>
      </c>
      <c r="C8" s="61"/>
      <c r="D8" s="70"/>
      <c r="E8" s="71">
        <f>H8*'Control Panel'!$F$5</f>
        <v>0</v>
      </c>
      <c r="F8" s="71">
        <f>D8-E8</f>
        <v>0</v>
      </c>
      <c r="G8" s="72">
        <f>IFERROR((D8-E8)/E8,0)</f>
        <v>0</v>
      </c>
      <c r="H8" s="71">
        <f>'Presentation Budget'!H7</f>
        <v>0</v>
      </c>
    </row>
    <row r="9" spans="1:8" ht="15" customHeight="1">
      <c r="A9" s="61"/>
      <c r="B9" s="69" t="str">
        <f>'Presentation Budget'!B8</f>
        <v>Events</v>
      </c>
      <c r="C9" s="61"/>
      <c r="D9" s="70"/>
      <c r="E9" s="71">
        <f>H9*'Control Panel'!$F$5</f>
        <v>0</v>
      </c>
      <c r="F9" s="71">
        <f>D9-E9</f>
        <v>0</v>
      </c>
      <c r="G9" s="72">
        <f>IFERROR((D9-E9)/E9,0)</f>
        <v>0</v>
      </c>
      <c r="H9" s="71">
        <f>'Presentation Budget'!H8</f>
        <v>0</v>
      </c>
    </row>
    <row r="10" spans="1:8" ht="15" customHeight="1">
      <c r="A10" s="61"/>
      <c r="B10" s="69" t="str">
        <f>'Presentation Budget'!B9</f>
        <v>Grants</v>
      </c>
      <c r="C10" s="62"/>
      <c r="D10" s="70"/>
      <c r="E10" s="71">
        <f>H10*'Control Panel'!$F$5</f>
        <v>32252.400000000001</v>
      </c>
      <c r="F10" s="71">
        <f t="shared" ref="F10:F15" si="0">D10-E10</f>
        <v>-32252.400000000001</v>
      </c>
      <c r="G10" s="72">
        <f t="shared" ref="G10:G15" si="1">IFERROR((D10-E10)/E10,0)</f>
        <v>-1</v>
      </c>
      <c r="H10" s="71">
        <f>'Presentation Budget'!H9</f>
        <v>322524</v>
      </c>
    </row>
    <row r="11" spans="1:8" ht="15" customHeight="1">
      <c r="A11" s="61"/>
      <c r="B11" s="69" t="str">
        <f>'Presentation Budget'!B10</f>
        <v>Interest and Investments</v>
      </c>
      <c r="C11" s="61"/>
      <c r="D11" s="70"/>
      <c r="E11" s="71">
        <f>H11*'Control Panel'!$F$5</f>
        <v>400</v>
      </c>
      <c r="F11" s="71">
        <f t="shared" si="0"/>
        <v>-400</v>
      </c>
      <c r="G11" s="72">
        <f t="shared" si="1"/>
        <v>-1</v>
      </c>
      <c r="H11" s="71">
        <f>'Presentation Budget'!H10</f>
        <v>4000</v>
      </c>
    </row>
    <row r="12" spans="1:8" ht="15" customHeight="1">
      <c r="A12" s="61"/>
      <c r="B12" s="69" t="str">
        <f>'Presentation Budget'!B11</f>
        <v>Other</v>
      </c>
      <c r="C12" s="61"/>
      <c r="D12" s="70"/>
      <c r="E12" s="71">
        <f>H12*'Control Panel'!$F$5</f>
        <v>0</v>
      </c>
      <c r="F12" s="71">
        <f t="shared" ref="F12" si="2">D12-E12</f>
        <v>0</v>
      </c>
      <c r="G12" s="72">
        <f t="shared" ref="G12" si="3">IFERROR((D12-E12)/E12,0)</f>
        <v>0</v>
      </c>
      <c r="H12" s="71">
        <f>'Presentation Budget'!H11</f>
        <v>0</v>
      </c>
    </row>
    <row r="13" spans="1:8" ht="15" customHeight="1">
      <c r="A13" s="61"/>
      <c r="B13" s="69" t="str">
        <f>'Presentation Budget'!B12</f>
        <v>Sales</v>
      </c>
      <c r="C13" s="61"/>
      <c r="D13" s="70"/>
      <c r="E13" s="71">
        <f>H13*'Control Panel'!$F$5</f>
        <v>1800</v>
      </c>
      <c r="F13" s="71">
        <f t="shared" si="0"/>
        <v>-1800</v>
      </c>
      <c r="G13" s="72">
        <f t="shared" si="1"/>
        <v>-1</v>
      </c>
      <c r="H13" s="71">
        <f>'Presentation Budget'!H12</f>
        <v>18000</v>
      </c>
    </row>
    <row r="14" spans="1:8" ht="15" customHeight="1">
      <c r="A14" s="61"/>
      <c r="B14" s="69" t="str">
        <f>'Presentation Budget'!B13</f>
        <v>Sponsorship</v>
      </c>
      <c r="C14" s="61"/>
      <c r="D14" s="70"/>
      <c r="E14" s="71">
        <f>H14*'Control Panel'!$F$5</f>
        <v>500</v>
      </c>
      <c r="F14" s="71">
        <f t="shared" ref="F14" si="4">D14-E14</f>
        <v>-500</v>
      </c>
      <c r="G14" s="72">
        <f t="shared" ref="G14" si="5">IFERROR((D14-E14)/E14,0)</f>
        <v>-1</v>
      </c>
      <c r="H14" s="71">
        <f>'Presentation Budget'!H13</f>
        <v>5000</v>
      </c>
    </row>
    <row r="15" spans="1:8" ht="15" customHeight="1">
      <c r="A15" s="61"/>
      <c r="B15" s="62" t="s">
        <v>38</v>
      </c>
      <c r="C15" s="61"/>
      <c r="D15" s="73">
        <f>SUM(D7:D14)</f>
        <v>0</v>
      </c>
      <c r="E15" s="74">
        <f>H15*'Control Panel'!$F$5</f>
        <v>120681.70000000001</v>
      </c>
      <c r="F15" s="74">
        <f t="shared" si="0"/>
        <v>-120681.70000000001</v>
      </c>
      <c r="G15" s="75">
        <f t="shared" si="1"/>
        <v>-1</v>
      </c>
      <c r="H15" s="74">
        <f>'Presentation Budget'!H14</f>
        <v>1206817</v>
      </c>
    </row>
    <row r="16" spans="1:8" ht="15" customHeight="1">
      <c r="A16" s="61"/>
      <c r="B16" s="61"/>
      <c r="C16" s="61"/>
      <c r="D16" s="76"/>
      <c r="E16" s="77"/>
      <c r="F16" s="77"/>
      <c r="G16" s="78"/>
      <c r="H16" s="77"/>
    </row>
    <row r="17" spans="1:8" ht="15" customHeight="1">
      <c r="A17" s="61"/>
      <c r="B17" s="62" t="s">
        <v>3</v>
      </c>
      <c r="C17" s="61"/>
      <c r="D17" s="76"/>
      <c r="E17" s="77"/>
      <c r="F17" s="77"/>
      <c r="G17" s="78"/>
      <c r="H17" s="77"/>
    </row>
    <row r="18" spans="1:8" ht="15" customHeight="1">
      <c r="A18" s="61"/>
      <c r="B18" s="69" t="str">
        <f>'Presentation Budget'!B18</f>
        <v>Advertising &amp; Promotion</v>
      </c>
      <c r="C18" s="61"/>
      <c r="D18" s="70"/>
      <c r="E18" s="71">
        <f>H18*'Control Panel'!$F$5</f>
        <v>3000</v>
      </c>
      <c r="F18" s="71">
        <f t="shared" ref="F18:F30" si="6">D18-E18</f>
        <v>-3000</v>
      </c>
      <c r="G18" s="72">
        <f t="shared" ref="G18:G30" si="7">IFERROR((D18-E18)/E18,0)</f>
        <v>-1</v>
      </c>
      <c r="H18" s="71">
        <f>'Presentation Budget'!H18</f>
        <v>30000</v>
      </c>
    </row>
    <row r="19" spans="1:8" ht="15" customHeight="1">
      <c r="A19" s="61"/>
      <c r="B19" s="69" t="str">
        <f>'Presentation Budget'!B19</f>
        <v>Amortization</v>
      </c>
      <c r="C19" s="61"/>
      <c r="D19" s="70"/>
      <c r="E19" s="71">
        <f>H19*'Control Panel'!$F$5</f>
        <v>0</v>
      </c>
      <c r="F19" s="71">
        <f t="shared" si="6"/>
        <v>0</v>
      </c>
      <c r="G19" s="72">
        <f t="shared" si="7"/>
        <v>0</v>
      </c>
      <c r="H19" s="71">
        <f>'Presentation Budget'!H19</f>
        <v>0</v>
      </c>
    </row>
    <row r="20" spans="1:8" ht="15" customHeight="1">
      <c r="A20" s="61"/>
      <c r="B20" s="69" t="str">
        <f>'Presentation Budget'!B20</f>
        <v>Bank Charges &amp; Interest</v>
      </c>
      <c r="C20" s="61"/>
      <c r="D20" s="70"/>
      <c r="E20" s="71">
        <f>H20*'Control Panel'!$F$5</f>
        <v>100</v>
      </c>
      <c r="F20" s="71">
        <f t="shared" si="6"/>
        <v>-100</v>
      </c>
      <c r="G20" s="72">
        <f t="shared" si="7"/>
        <v>-1</v>
      </c>
      <c r="H20" s="71">
        <f>'Presentation Budget'!H20</f>
        <v>1000</v>
      </c>
    </row>
    <row r="21" spans="1:8" ht="15" customHeight="1">
      <c r="A21" s="61"/>
      <c r="B21" s="69" t="str">
        <f>'Presentation Budget'!B21</f>
        <v>Education and Training</v>
      </c>
      <c r="C21" s="61"/>
      <c r="D21" s="70"/>
      <c r="E21" s="71">
        <f>H21*'Control Panel'!$F$5</f>
        <v>250</v>
      </c>
      <c r="F21" s="71">
        <f t="shared" si="6"/>
        <v>-250</v>
      </c>
      <c r="G21" s="72">
        <f t="shared" si="7"/>
        <v>-1</v>
      </c>
      <c r="H21" s="71">
        <f>'Presentation Budget'!H21</f>
        <v>2500</v>
      </c>
    </row>
    <row r="22" spans="1:8" ht="15" customHeight="1">
      <c r="A22" s="61"/>
      <c r="B22" s="69" t="str">
        <f>'Presentation Budget'!B22</f>
        <v>Evaluation</v>
      </c>
      <c r="C22" s="61"/>
      <c r="D22" s="70"/>
      <c r="E22" s="71">
        <f>H22*'Control Panel'!$F$5</f>
        <v>500</v>
      </c>
      <c r="F22" s="71">
        <f>D22-E22</f>
        <v>-500</v>
      </c>
      <c r="G22" s="72">
        <f>IFERROR((D22-E22)/E22,0)</f>
        <v>-1</v>
      </c>
      <c r="H22" s="71">
        <f>'Presentation Budget'!H22</f>
        <v>5000</v>
      </c>
    </row>
    <row r="23" spans="1:8" ht="15" customHeight="1">
      <c r="A23" s="61"/>
      <c r="B23" s="69" t="str">
        <f>'Presentation Budget'!B23</f>
        <v>Human Resources</v>
      </c>
      <c r="C23" s="61"/>
      <c r="D23" s="70"/>
      <c r="E23" s="71">
        <f>H23*'Control Panel'!$F$5</f>
        <v>50201.600000000006</v>
      </c>
      <c r="F23" s="71">
        <f t="shared" si="6"/>
        <v>-50201.600000000006</v>
      </c>
      <c r="G23" s="72">
        <f t="shared" si="7"/>
        <v>-1</v>
      </c>
      <c r="H23" s="71">
        <f>'Presentation Budget'!H23</f>
        <v>502016</v>
      </c>
    </row>
    <row r="24" spans="1:8" ht="15" customHeight="1">
      <c r="A24" s="61"/>
      <c r="B24" s="69" t="str">
        <f>'Presentation Budget'!B24</f>
        <v>Membership, Dues, Fees</v>
      </c>
      <c r="C24" s="61"/>
      <c r="D24" s="70"/>
      <c r="E24" s="71">
        <f>H24*'Control Panel'!$F$5</f>
        <v>400</v>
      </c>
      <c r="F24" s="71">
        <f t="shared" si="6"/>
        <v>-400</v>
      </c>
      <c r="G24" s="72">
        <f t="shared" si="7"/>
        <v>-1</v>
      </c>
      <c r="H24" s="71">
        <f>'Presentation Budget'!H24</f>
        <v>4000</v>
      </c>
    </row>
    <row r="25" spans="1:8" ht="15" customHeight="1">
      <c r="A25" s="61"/>
      <c r="B25" s="69" t="str">
        <f>'Presentation Budget'!B25</f>
        <v>Office &amp; Miscellaneous</v>
      </c>
      <c r="C25" s="61"/>
      <c r="D25" s="70"/>
      <c r="E25" s="71">
        <f>H25*'Control Panel'!$F$5</f>
        <v>1750</v>
      </c>
      <c r="F25" s="71">
        <f t="shared" si="6"/>
        <v>-1750</v>
      </c>
      <c r="G25" s="72">
        <f t="shared" si="7"/>
        <v>-1</v>
      </c>
      <c r="H25" s="71">
        <f>'Presentation Budget'!H25</f>
        <v>17500</v>
      </c>
    </row>
    <row r="26" spans="1:8" ht="15" customHeight="1">
      <c r="A26" s="61"/>
      <c r="B26" s="69" t="str">
        <f>'Presentation Budget'!B26</f>
        <v>Occupancy Costs</v>
      </c>
      <c r="C26" s="61"/>
      <c r="D26" s="70"/>
      <c r="E26" s="71">
        <f>H26*'Control Panel'!$F$5</f>
        <v>6440</v>
      </c>
      <c r="F26" s="71">
        <f t="shared" si="6"/>
        <v>-6440</v>
      </c>
      <c r="G26" s="72">
        <f t="shared" si="7"/>
        <v>-1</v>
      </c>
      <c r="H26" s="71">
        <f>'Presentation Budget'!H26</f>
        <v>64400</v>
      </c>
    </row>
    <row r="27" spans="1:8" ht="15" customHeight="1">
      <c r="A27" s="61"/>
      <c r="B27" s="69" t="str">
        <f>'Presentation Budget'!B27</f>
        <v>Professional Fees</v>
      </c>
      <c r="C27" s="61"/>
      <c r="D27" s="70"/>
      <c r="E27" s="71">
        <f>H27*'Control Panel'!$F$5</f>
        <v>250</v>
      </c>
      <c r="F27" s="71">
        <f t="shared" si="6"/>
        <v>-250</v>
      </c>
      <c r="G27" s="72">
        <f t="shared" si="7"/>
        <v>-1</v>
      </c>
      <c r="H27" s="71">
        <f>'Presentation Budget'!H27</f>
        <v>2500</v>
      </c>
    </row>
    <row r="28" spans="1:8" ht="15" customHeight="1">
      <c r="A28" s="61"/>
      <c r="B28" s="69" t="str">
        <f>'Presentation Budget'!B28</f>
        <v>Purchased Supplies and Assets</v>
      </c>
      <c r="C28" s="61"/>
      <c r="D28" s="70"/>
      <c r="E28" s="71">
        <f>H28*'Control Panel'!$F$5</f>
        <v>34700</v>
      </c>
      <c r="F28" s="71">
        <f t="shared" si="6"/>
        <v>-34700</v>
      </c>
      <c r="G28" s="72">
        <f t="shared" si="7"/>
        <v>-1</v>
      </c>
      <c r="H28" s="71">
        <f>'Presentation Budget'!H28</f>
        <v>347000</v>
      </c>
    </row>
    <row r="29" spans="1:8" ht="15" customHeight="1">
      <c r="A29" s="61"/>
      <c r="B29" s="69" t="str">
        <f>'Presentation Budget'!B29</f>
        <v xml:space="preserve">Travel &amp; Meals </v>
      </c>
      <c r="C29" s="61"/>
      <c r="D29" s="70"/>
      <c r="E29" s="71">
        <f>H29*'Control Panel'!$F$5</f>
        <v>1700</v>
      </c>
      <c r="F29" s="71">
        <f t="shared" si="6"/>
        <v>-1700</v>
      </c>
      <c r="G29" s="72">
        <f t="shared" si="7"/>
        <v>-1</v>
      </c>
      <c r="H29" s="71">
        <f>'Presentation Budget'!H29</f>
        <v>17000</v>
      </c>
    </row>
    <row r="30" spans="1:8" ht="15" customHeight="1">
      <c r="A30" s="61"/>
      <c r="B30" s="62" t="s">
        <v>9</v>
      </c>
      <c r="C30" s="61"/>
      <c r="D30" s="73">
        <f>SUM(D18:D29)</f>
        <v>0</v>
      </c>
      <c r="E30" s="74">
        <f>H30*'Control Panel'!$F$5</f>
        <v>99291.6</v>
      </c>
      <c r="F30" s="74">
        <f t="shared" si="6"/>
        <v>-99291.6</v>
      </c>
      <c r="G30" s="75">
        <f t="shared" si="7"/>
        <v>-1</v>
      </c>
      <c r="H30" s="74">
        <f>'Presentation Budget'!H30</f>
        <v>992916</v>
      </c>
    </row>
    <row r="31" spans="1:8" ht="15" customHeight="1">
      <c r="A31" s="61"/>
      <c r="B31" s="62"/>
      <c r="C31" s="61"/>
      <c r="D31" s="76"/>
      <c r="E31" s="77"/>
      <c r="F31" s="77"/>
      <c r="G31" s="78"/>
      <c r="H31" s="79"/>
    </row>
    <row r="32" spans="1:8" ht="15" customHeight="1" thickBot="1">
      <c r="A32" s="61"/>
      <c r="B32" s="62" t="s">
        <v>5</v>
      </c>
      <c r="C32" s="61"/>
      <c r="D32" s="80">
        <f>D15-D30</f>
        <v>0</v>
      </c>
      <c r="E32" s="81">
        <f>H32*'Control Panel'!$F$5</f>
        <v>21390.100000000002</v>
      </c>
      <c r="F32" s="81">
        <f>D32-E32</f>
        <v>-21390.100000000002</v>
      </c>
      <c r="G32" s="82">
        <f>IFERROR((D32-E32)/ABS(E32),0)</f>
        <v>-1</v>
      </c>
      <c r="H32" s="81">
        <f>'Presentation Budget'!H32</f>
        <v>213901</v>
      </c>
    </row>
    <row r="33" spans="7:7" ht="16" thickTop="1">
      <c r="G33" s="3"/>
    </row>
  </sheetData>
  <sheetProtection selectLockedCells="1"/>
  <phoneticPr fontId="14" type="noConversion"/>
  <pageMargins left="0.7" right="0.7" top="0.75" bottom="0.75" header="0.3" footer="0.3"/>
  <pageSetup scale="7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33"/>
  <sheetViews>
    <sheetView showGridLines="0" workbookViewId="0">
      <selection activeCell="D18" sqref="D18:D29"/>
    </sheetView>
  </sheetViews>
  <sheetFormatPr baseColWidth="10" defaultColWidth="9" defaultRowHeight="15"/>
  <cols>
    <col min="1" max="1" width="4.6640625" style="61" customWidth="1"/>
    <col min="2" max="2" width="28.1640625" style="61" bestFit="1" customWidth="1"/>
    <col min="3" max="3" width="2.6640625" style="61" customWidth="1"/>
    <col min="4" max="8" width="15.6640625" style="61" customWidth="1"/>
    <col min="9" max="9" width="9" style="61"/>
    <col min="10" max="11" width="13.6640625" style="61" customWidth="1"/>
    <col min="12" max="16384" width="9" style="61"/>
  </cols>
  <sheetData>
    <row r="1" spans="1:8" ht="23" customHeight="1">
      <c r="A1" s="84" t="s">
        <v>96</v>
      </c>
    </row>
    <row r="2" spans="1:8" ht="20" customHeight="1">
      <c r="A2" s="62" t="s">
        <v>41</v>
      </c>
      <c r="B2" s="63"/>
      <c r="C2" s="64"/>
    </row>
    <row r="3" spans="1:8" ht="20" customHeight="1">
      <c r="A3" s="65" t="str">
        <f>CONCATENATE("For the Quarter Ending ", 'Control Panel'!F11," ",  'Control Panel'!C4-1)</f>
        <v>For the Quarter Ending December 31, 2023</v>
      </c>
      <c r="B3" s="66"/>
      <c r="C3" s="66"/>
    </row>
    <row r="4" spans="1:8" ht="7" customHeight="1"/>
    <row r="5" spans="1:8" ht="15" customHeight="1">
      <c r="D5" s="67" t="s">
        <v>36</v>
      </c>
      <c r="E5" s="67" t="s">
        <v>35</v>
      </c>
      <c r="F5" s="67" t="s">
        <v>40</v>
      </c>
      <c r="G5" s="67" t="s">
        <v>45</v>
      </c>
      <c r="H5" s="67" t="str">
        <f>CONCATENATE('Control Panel'!C4," ", "Total Budget")</f>
        <v>2024 Total Budget</v>
      </c>
    </row>
    <row r="6" spans="1:8" ht="15" customHeight="1">
      <c r="B6" s="68" t="s">
        <v>39</v>
      </c>
      <c r="D6" s="63"/>
      <c r="E6" s="63"/>
      <c r="F6" s="63"/>
      <c r="G6" s="63"/>
      <c r="H6" s="63"/>
    </row>
    <row r="7" spans="1:8" ht="15" customHeight="1">
      <c r="B7" s="69" t="str">
        <f>'Presentation Budget'!B6</f>
        <v>Contracts</v>
      </c>
      <c r="D7" s="70"/>
      <c r="E7" s="71">
        <f>H7*'Control Panel'!$F$12</f>
        <v>342917.2</v>
      </c>
      <c r="F7" s="71">
        <f>D7-E7</f>
        <v>-342917.2</v>
      </c>
      <c r="G7" s="72">
        <f>IFERROR((D7-E7)/E7,0)</f>
        <v>-1</v>
      </c>
      <c r="H7" s="71">
        <f>'Presentation Budget'!H6</f>
        <v>857293</v>
      </c>
    </row>
    <row r="8" spans="1:8" ht="15" customHeight="1">
      <c r="B8" s="69" t="str">
        <f>'Presentation Budget'!B7</f>
        <v>Donations</v>
      </c>
      <c r="D8" s="70"/>
      <c r="E8" s="71">
        <f>H8*'Control Panel'!$F$12</f>
        <v>0</v>
      </c>
      <c r="F8" s="71">
        <f t="shared" ref="F8:F15" si="0">D8-E8</f>
        <v>0</v>
      </c>
      <c r="G8" s="72">
        <f t="shared" ref="G8:G15" si="1">IFERROR((D8-E8)/E8,0)</f>
        <v>0</v>
      </c>
      <c r="H8" s="71">
        <f>'Presentation Budget'!H7</f>
        <v>0</v>
      </c>
    </row>
    <row r="9" spans="1:8" ht="15" customHeight="1">
      <c r="B9" s="69" t="str">
        <f>'Presentation Budget'!B8</f>
        <v>Events</v>
      </c>
      <c r="D9" s="70"/>
      <c r="E9" s="71">
        <f>H9*'Control Panel'!$F$12</f>
        <v>0</v>
      </c>
      <c r="F9" s="71">
        <f t="shared" ref="F9" si="2">D9-E9</f>
        <v>0</v>
      </c>
      <c r="G9" s="72">
        <f t="shared" ref="G9" si="3">IFERROR((D9-E9)/E9,0)</f>
        <v>0</v>
      </c>
      <c r="H9" s="71">
        <f>'Presentation Budget'!H8</f>
        <v>0</v>
      </c>
    </row>
    <row r="10" spans="1:8" ht="15" customHeight="1">
      <c r="B10" s="69" t="str">
        <f>'Presentation Budget'!B9</f>
        <v>Grants</v>
      </c>
      <c r="C10" s="62"/>
      <c r="D10" s="70"/>
      <c r="E10" s="71">
        <f>H10*'Control Panel'!$F$12</f>
        <v>129009.60000000001</v>
      </c>
      <c r="F10" s="71">
        <f t="shared" si="0"/>
        <v>-129009.60000000001</v>
      </c>
      <c r="G10" s="72">
        <f t="shared" si="1"/>
        <v>-1</v>
      </c>
      <c r="H10" s="71">
        <f>'Presentation Budget'!H9</f>
        <v>322524</v>
      </c>
    </row>
    <row r="11" spans="1:8" ht="15" customHeight="1">
      <c r="B11" s="69" t="str">
        <f>'Presentation Budget'!B10</f>
        <v>Interest and Investments</v>
      </c>
      <c r="D11" s="70"/>
      <c r="E11" s="71">
        <f>H11*'Control Panel'!$F$12</f>
        <v>1600</v>
      </c>
      <c r="F11" s="71">
        <f t="shared" si="0"/>
        <v>-1600</v>
      </c>
      <c r="G11" s="72">
        <f t="shared" si="1"/>
        <v>-1</v>
      </c>
      <c r="H11" s="71">
        <f>'Presentation Budget'!H10</f>
        <v>4000</v>
      </c>
    </row>
    <row r="12" spans="1:8" ht="15" customHeight="1">
      <c r="B12" s="69" t="str">
        <f>'Presentation Budget'!B11</f>
        <v>Other</v>
      </c>
      <c r="D12" s="70"/>
      <c r="E12" s="71">
        <f>H12*'Control Panel'!$F$12</f>
        <v>0</v>
      </c>
      <c r="F12" s="71">
        <f t="shared" ref="F12" si="4">D12-E12</f>
        <v>0</v>
      </c>
      <c r="G12" s="72">
        <f t="shared" ref="G12" si="5">IFERROR((D12-E12)/E12,0)</f>
        <v>0</v>
      </c>
      <c r="H12" s="71">
        <f>'Presentation Budget'!H11</f>
        <v>0</v>
      </c>
    </row>
    <row r="13" spans="1:8" ht="15" customHeight="1">
      <c r="B13" s="69" t="str">
        <f>'Presentation Budget'!B12</f>
        <v>Sales</v>
      </c>
      <c r="D13" s="70"/>
      <c r="E13" s="71">
        <f>H13*'Control Panel'!$F$12</f>
        <v>7200</v>
      </c>
      <c r="F13" s="71">
        <f t="shared" si="0"/>
        <v>-7200</v>
      </c>
      <c r="G13" s="72">
        <f t="shared" si="1"/>
        <v>-1</v>
      </c>
      <c r="H13" s="71">
        <f>'Presentation Budget'!H12</f>
        <v>18000</v>
      </c>
    </row>
    <row r="14" spans="1:8" ht="15" customHeight="1">
      <c r="B14" s="69" t="str">
        <f>'Presentation Budget'!B13</f>
        <v>Sponsorship</v>
      </c>
      <c r="D14" s="70"/>
      <c r="E14" s="71">
        <f>H14*'Control Panel'!$F$12</f>
        <v>2000</v>
      </c>
      <c r="F14" s="71">
        <f t="shared" si="0"/>
        <v>-2000</v>
      </c>
      <c r="G14" s="72">
        <f t="shared" si="1"/>
        <v>-1</v>
      </c>
      <c r="H14" s="71">
        <f>'Presentation Budget'!H13</f>
        <v>5000</v>
      </c>
    </row>
    <row r="15" spans="1:8" ht="15" customHeight="1">
      <c r="B15" s="62" t="s">
        <v>38</v>
      </c>
      <c r="D15" s="73">
        <f>SUM(D7:D14)</f>
        <v>0</v>
      </c>
      <c r="E15" s="74">
        <f>H15*'Control Panel'!$F$12</f>
        <v>482726.80000000005</v>
      </c>
      <c r="F15" s="74">
        <f t="shared" si="0"/>
        <v>-482726.80000000005</v>
      </c>
      <c r="G15" s="75">
        <f t="shared" si="1"/>
        <v>-1</v>
      </c>
      <c r="H15" s="74">
        <f>'Presentation Budget'!H14</f>
        <v>1206817</v>
      </c>
    </row>
    <row r="16" spans="1:8" ht="15" customHeight="1">
      <c r="D16" s="76"/>
      <c r="E16" s="77"/>
      <c r="F16" s="77"/>
      <c r="G16" s="78"/>
      <c r="H16" s="77"/>
    </row>
    <row r="17" spans="2:8" ht="15" customHeight="1">
      <c r="B17" s="62" t="s">
        <v>3</v>
      </c>
      <c r="D17" s="76"/>
      <c r="E17" s="77"/>
      <c r="F17" s="77"/>
      <c r="G17" s="78"/>
      <c r="H17" s="77"/>
    </row>
    <row r="18" spans="2:8" ht="15" customHeight="1">
      <c r="B18" s="69" t="str">
        <f>'Presentation Budget'!B18</f>
        <v>Advertising &amp; Promotion</v>
      </c>
      <c r="D18" s="70"/>
      <c r="E18" s="71">
        <f>H18*'Control Panel'!$F$12</f>
        <v>12000</v>
      </c>
      <c r="F18" s="71">
        <f t="shared" ref="F18:F30" si="6">D18-E18</f>
        <v>-12000</v>
      </c>
      <c r="G18" s="72">
        <f t="shared" ref="G18:G30" si="7">IFERROR((D18-E18)/E18,0)</f>
        <v>-1</v>
      </c>
      <c r="H18" s="71">
        <f>'Presentation Budget'!H18</f>
        <v>30000</v>
      </c>
    </row>
    <row r="19" spans="2:8" ht="15" customHeight="1">
      <c r="B19" s="69" t="str">
        <f>'Presentation Budget'!B19</f>
        <v>Amortization</v>
      </c>
      <c r="D19" s="70"/>
      <c r="E19" s="71">
        <f>H19*'Control Panel'!$F$12</f>
        <v>0</v>
      </c>
      <c r="F19" s="71">
        <f t="shared" si="6"/>
        <v>0</v>
      </c>
      <c r="G19" s="72">
        <f t="shared" si="7"/>
        <v>0</v>
      </c>
      <c r="H19" s="71">
        <f>'Presentation Budget'!H19</f>
        <v>0</v>
      </c>
    </row>
    <row r="20" spans="2:8" ht="15" customHeight="1">
      <c r="B20" s="69" t="str">
        <f>'Presentation Budget'!B20</f>
        <v>Bank Charges &amp; Interest</v>
      </c>
      <c r="D20" s="70"/>
      <c r="E20" s="71">
        <f>H20*'Control Panel'!$F$12</f>
        <v>400</v>
      </c>
      <c r="F20" s="71">
        <f t="shared" si="6"/>
        <v>-400</v>
      </c>
      <c r="G20" s="72">
        <f t="shared" si="7"/>
        <v>-1</v>
      </c>
      <c r="H20" s="71">
        <f>'Presentation Budget'!H20</f>
        <v>1000</v>
      </c>
    </row>
    <row r="21" spans="2:8" ht="15" customHeight="1">
      <c r="B21" s="69" t="str">
        <f>'Presentation Budget'!B21</f>
        <v>Education and Training</v>
      </c>
      <c r="D21" s="70"/>
      <c r="E21" s="71">
        <f>H21*'Control Panel'!$F$12</f>
        <v>1000</v>
      </c>
      <c r="F21" s="71">
        <f t="shared" si="6"/>
        <v>-1000</v>
      </c>
      <c r="G21" s="72">
        <f t="shared" si="7"/>
        <v>-1</v>
      </c>
      <c r="H21" s="71">
        <f>'Presentation Budget'!H21</f>
        <v>2500</v>
      </c>
    </row>
    <row r="22" spans="2:8" ht="15" customHeight="1">
      <c r="B22" s="69" t="str">
        <f>'Presentation Budget'!B22</f>
        <v>Evaluation</v>
      </c>
      <c r="D22" s="70"/>
      <c r="E22" s="71">
        <f>H22*'Control Panel'!$F$12</f>
        <v>2000</v>
      </c>
      <c r="F22" s="71">
        <f>D22-E22</f>
        <v>-2000</v>
      </c>
      <c r="G22" s="72">
        <f>IFERROR((D22-E22)/E22,0)</f>
        <v>-1</v>
      </c>
      <c r="H22" s="71">
        <f>'Presentation Budget'!H22</f>
        <v>5000</v>
      </c>
    </row>
    <row r="23" spans="2:8" ht="15" customHeight="1">
      <c r="B23" s="69" t="str">
        <f>'Presentation Budget'!B23</f>
        <v>Human Resources</v>
      </c>
      <c r="D23" s="70"/>
      <c r="E23" s="71">
        <f>H23*'Control Panel'!$F$12</f>
        <v>200806.40000000002</v>
      </c>
      <c r="F23" s="71">
        <f t="shared" si="6"/>
        <v>-200806.40000000002</v>
      </c>
      <c r="G23" s="72">
        <f t="shared" si="7"/>
        <v>-1</v>
      </c>
      <c r="H23" s="71">
        <f>'Presentation Budget'!H23</f>
        <v>502016</v>
      </c>
    </row>
    <row r="24" spans="2:8" ht="15" customHeight="1">
      <c r="B24" s="69" t="str">
        <f>'Presentation Budget'!B24</f>
        <v>Membership, Dues, Fees</v>
      </c>
      <c r="D24" s="70"/>
      <c r="E24" s="71">
        <f>H24*'Control Panel'!$F$12</f>
        <v>1600</v>
      </c>
      <c r="F24" s="71">
        <f t="shared" si="6"/>
        <v>-1600</v>
      </c>
      <c r="G24" s="72">
        <f t="shared" si="7"/>
        <v>-1</v>
      </c>
      <c r="H24" s="71">
        <f>'Presentation Budget'!H24</f>
        <v>4000</v>
      </c>
    </row>
    <row r="25" spans="2:8" ht="15" customHeight="1">
      <c r="B25" s="69" t="str">
        <f>'Presentation Budget'!B25</f>
        <v>Office &amp; Miscellaneous</v>
      </c>
      <c r="D25" s="70"/>
      <c r="E25" s="71">
        <f>H25*'Control Panel'!$F$12</f>
        <v>7000</v>
      </c>
      <c r="F25" s="71">
        <f t="shared" si="6"/>
        <v>-7000</v>
      </c>
      <c r="G25" s="72">
        <f t="shared" si="7"/>
        <v>-1</v>
      </c>
      <c r="H25" s="71">
        <f>'Presentation Budget'!H25</f>
        <v>17500</v>
      </c>
    </row>
    <row r="26" spans="2:8" ht="15" customHeight="1">
      <c r="B26" s="69" t="str">
        <f>'Presentation Budget'!B26</f>
        <v>Occupancy Costs</v>
      </c>
      <c r="D26" s="70"/>
      <c r="E26" s="71">
        <f>H26*'Control Panel'!$F$12</f>
        <v>25760</v>
      </c>
      <c r="F26" s="71">
        <f t="shared" si="6"/>
        <v>-25760</v>
      </c>
      <c r="G26" s="72">
        <f t="shared" si="7"/>
        <v>-1</v>
      </c>
      <c r="H26" s="71">
        <f>'Presentation Budget'!H26</f>
        <v>64400</v>
      </c>
    </row>
    <row r="27" spans="2:8" ht="15" customHeight="1">
      <c r="B27" s="69" t="str">
        <f>'Presentation Budget'!B27</f>
        <v>Professional Fees</v>
      </c>
      <c r="D27" s="70"/>
      <c r="E27" s="71">
        <f>H27*'Control Panel'!$F$12</f>
        <v>1000</v>
      </c>
      <c r="F27" s="71">
        <f t="shared" si="6"/>
        <v>-1000</v>
      </c>
      <c r="G27" s="72">
        <f t="shared" si="7"/>
        <v>-1</v>
      </c>
      <c r="H27" s="71">
        <f>'Presentation Budget'!H27</f>
        <v>2500</v>
      </c>
    </row>
    <row r="28" spans="2:8" ht="15" customHeight="1">
      <c r="B28" s="69" t="str">
        <f>'Presentation Budget'!B28</f>
        <v>Purchased Supplies and Assets</v>
      </c>
      <c r="D28" s="70"/>
      <c r="E28" s="71">
        <f>H28*'Control Panel'!$F$12</f>
        <v>138800</v>
      </c>
      <c r="F28" s="71">
        <f t="shared" si="6"/>
        <v>-138800</v>
      </c>
      <c r="G28" s="72">
        <f t="shared" si="7"/>
        <v>-1</v>
      </c>
      <c r="H28" s="71">
        <f>'Presentation Budget'!H28</f>
        <v>347000</v>
      </c>
    </row>
    <row r="29" spans="2:8" ht="15" customHeight="1">
      <c r="B29" s="69" t="str">
        <f>'Presentation Budget'!B29</f>
        <v xml:space="preserve">Travel &amp; Meals </v>
      </c>
      <c r="D29" s="70"/>
      <c r="E29" s="71">
        <f>H29*'Control Panel'!$F$12</f>
        <v>6800</v>
      </c>
      <c r="F29" s="71">
        <f t="shared" si="6"/>
        <v>-6800</v>
      </c>
      <c r="G29" s="72">
        <f t="shared" si="7"/>
        <v>-1</v>
      </c>
      <c r="H29" s="71">
        <f>'Presentation Budget'!H29</f>
        <v>17000</v>
      </c>
    </row>
    <row r="30" spans="2:8" ht="15" customHeight="1">
      <c r="B30" s="62" t="s">
        <v>9</v>
      </c>
      <c r="D30" s="73">
        <f>SUM(D18:D29)</f>
        <v>0</v>
      </c>
      <c r="E30" s="74">
        <f>H30*'Control Panel'!$F$12</f>
        <v>397166.4</v>
      </c>
      <c r="F30" s="74">
        <f t="shared" si="6"/>
        <v>-397166.4</v>
      </c>
      <c r="G30" s="75">
        <f t="shared" si="7"/>
        <v>-1</v>
      </c>
      <c r="H30" s="74">
        <f>'Presentation Budget'!H30</f>
        <v>992916</v>
      </c>
    </row>
    <row r="31" spans="2:8" ht="15" customHeight="1">
      <c r="B31" s="62"/>
      <c r="D31" s="76"/>
      <c r="E31" s="77"/>
      <c r="F31" s="77"/>
      <c r="G31" s="78"/>
      <c r="H31" s="79"/>
    </row>
    <row r="32" spans="2:8" ht="15" customHeight="1" thickBot="1">
      <c r="B32" s="62" t="s">
        <v>5</v>
      </c>
      <c r="D32" s="80">
        <f>D15-D30</f>
        <v>0</v>
      </c>
      <c r="E32" s="81">
        <f>H32*'Control Panel'!$F$12</f>
        <v>85560.400000000009</v>
      </c>
      <c r="F32" s="81">
        <f>D32-E32</f>
        <v>-85560.400000000009</v>
      </c>
      <c r="G32" s="82">
        <f>IFERROR((D32-E32)/ABS(E32),0)</f>
        <v>-1</v>
      </c>
      <c r="H32" s="81">
        <f>'Presentation Budget'!H32</f>
        <v>213901</v>
      </c>
    </row>
    <row r="33" spans="7:7" ht="16" thickTop="1">
      <c r="G33" s="83"/>
    </row>
  </sheetData>
  <sheetProtection selectLockedCells="1"/>
  <phoneticPr fontId="14" type="noConversion"/>
  <pageMargins left="0.25" right="0.25" top="0.75" bottom="0.75" header="0.3" footer="0.3"/>
  <pageSetup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33"/>
  <sheetViews>
    <sheetView showGridLines="0" workbookViewId="0">
      <selection activeCell="D18" sqref="D18:D29"/>
    </sheetView>
  </sheetViews>
  <sheetFormatPr baseColWidth="10" defaultColWidth="9" defaultRowHeight="15"/>
  <cols>
    <col min="1" max="1" width="4.6640625" customWidth="1"/>
    <col min="2" max="2" width="28.1640625" bestFit="1" customWidth="1"/>
    <col min="3" max="3" width="2.6640625" customWidth="1"/>
    <col min="4" max="8" width="15.6640625" customWidth="1"/>
    <col min="10" max="11" width="13.6640625" customWidth="1"/>
  </cols>
  <sheetData>
    <row r="1" spans="1:8" ht="20" customHeight="1">
      <c r="A1" s="84" t="s">
        <v>96</v>
      </c>
    </row>
    <row r="2" spans="1:8" ht="20" customHeight="1">
      <c r="A2" s="62" t="s">
        <v>41</v>
      </c>
      <c r="B2" s="63"/>
      <c r="C2" s="64"/>
      <c r="D2" s="61"/>
      <c r="E2" s="61"/>
      <c r="F2" s="61"/>
      <c r="G2" s="61"/>
      <c r="H2" s="61"/>
    </row>
    <row r="3" spans="1:8" ht="20" customHeight="1">
      <c r="A3" s="65" t="str">
        <f>CONCATENATE("For the Quarter Ending ", 'Control Panel'!I4," ",  'Control Panel'!C4)</f>
        <v>For the Quarter Ending March 31,  2024</v>
      </c>
      <c r="B3" s="66"/>
      <c r="C3" s="66"/>
      <c r="D3" s="61"/>
      <c r="E3" s="61"/>
      <c r="F3" s="61"/>
      <c r="G3" s="61"/>
      <c r="H3" s="61"/>
    </row>
    <row r="4" spans="1:8" ht="22.25" customHeight="1">
      <c r="A4" s="61"/>
      <c r="B4" s="61"/>
      <c r="C4" s="61"/>
      <c r="D4" s="61"/>
      <c r="E4" s="61"/>
      <c r="F4" s="61"/>
      <c r="G4" s="61"/>
      <c r="H4" s="61"/>
    </row>
    <row r="5" spans="1:8" ht="15" customHeight="1">
      <c r="A5" s="61"/>
      <c r="B5" s="61"/>
      <c r="C5" s="61"/>
      <c r="D5" s="67" t="s">
        <v>36</v>
      </c>
      <c r="E5" s="67" t="s">
        <v>35</v>
      </c>
      <c r="F5" s="67" t="s">
        <v>40</v>
      </c>
      <c r="G5" s="67" t="s">
        <v>45</v>
      </c>
      <c r="H5" s="67" t="str">
        <f>CONCATENATE('Control Panel'!C4," ", "Total Budget")</f>
        <v>2024 Total Budget</v>
      </c>
    </row>
    <row r="6" spans="1:8" ht="15" customHeight="1">
      <c r="A6" s="61"/>
      <c r="B6" s="68" t="s">
        <v>39</v>
      </c>
      <c r="C6" s="61"/>
      <c r="D6" s="63"/>
      <c r="E6" s="63"/>
      <c r="F6" s="63"/>
      <c r="G6" s="63"/>
      <c r="H6" s="63"/>
    </row>
    <row r="7" spans="1:8" ht="15" customHeight="1">
      <c r="A7" s="61"/>
      <c r="B7" s="69" t="str">
        <f>'Presentation Budget'!B6</f>
        <v>Contracts</v>
      </c>
      <c r="C7" s="61"/>
      <c r="D7" s="70"/>
      <c r="E7" s="71">
        <f>H7*'Control Panel'!$I$5</f>
        <v>642969.75</v>
      </c>
      <c r="F7" s="71">
        <f>D7-E7</f>
        <v>-642969.75</v>
      </c>
      <c r="G7" s="72">
        <f>IFERROR((D7-E7)/E7,0)</f>
        <v>-1</v>
      </c>
      <c r="H7" s="71">
        <f>'Presentation Budget'!H6</f>
        <v>857293</v>
      </c>
    </row>
    <row r="8" spans="1:8" ht="15" customHeight="1">
      <c r="A8" s="61"/>
      <c r="B8" s="69" t="str">
        <f>'Presentation Budget'!B7</f>
        <v>Donations</v>
      </c>
      <c r="C8" s="61"/>
      <c r="D8" s="70"/>
      <c r="E8" s="71">
        <f>H8*'Control Panel'!$I$5</f>
        <v>0</v>
      </c>
      <c r="F8" s="71">
        <f t="shared" ref="F8:F15" si="0">D8-E8</f>
        <v>0</v>
      </c>
      <c r="G8" s="72">
        <f t="shared" ref="G8:G15" si="1">IFERROR((D8-E8)/E8,0)</f>
        <v>0</v>
      </c>
      <c r="H8" s="71">
        <f>'Presentation Budget'!H7</f>
        <v>0</v>
      </c>
    </row>
    <row r="9" spans="1:8" ht="15" customHeight="1">
      <c r="A9" s="61"/>
      <c r="B9" s="69" t="str">
        <f>'Presentation Budget'!B8</f>
        <v>Events</v>
      </c>
      <c r="C9" s="61"/>
      <c r="D9" s="70"/>
      <c r="E9" s="71">
        <f>H9*'Control Panel'!$I$5</f>
        <v>0</v>
      </c>
      <c r="F9" s="71">
        <f t="shared" ref="F9" si="2">D9-E9</f>
        <v>0</v>
      </c>
      <c r="G9" s="72">
        <f t="shared" ref="G9" si="3">IFERROR((D9-E9)/E9,0)</f>
        <v>0</v>
      </c>
      <c r="H9" s="71">
        <f>'Presentation Budget'!H8</f>
        <v>0</v>
      </c>
    </row>
    <row r="10" spans="1:8" ht="15" customHeight="1">
      <c r="A10" s="61"/>
      <c r="B10" s="69" t="str">
        <f>'Presentation Budget'!B9</f>
        <v>Grants</v>
      </c>
      <c r="C10" s="62"/>
      <c r="D10" s="70"/>
      <c r="E10" s="71">
        <f>H10*'Control Panel'!$I$5</f>
        <v>241893</v>
      </c>
      <c r="F10" s="71">
        <f t="shared" si="0"/>
        <v>-241893</v>
      </c>
      <c r="G10" s="72">
        <f t="shared" si="1"/>
        <v>-1</v>
      </c>
      <c r="H10" s="71">
        <f>'Presentation Budget'!H9</f>
        <v>322524</v>
      </c>
    </row>
    <row r="11" spans="1:8" ht="15" customHeight="1">
      <c r="A11" s="61"/>
      <c r="B11" s="69" t="str">
        <f>'Presentation Budget'!B10</f>
        <v>Interest and Investments</v>
      </c>
      <c r="C11" s="61"/>
      <c r="D11" s="70"/>
      <c r="E11" s="71">
        <f>H11*'Control Panel'!$I$5</f>
        <v>3000</v>
      </c>
      <c r="F11" s="71">
        <f t="shared" si="0"/>
        <v>-3000</v>
      </c>
      <c r="G11" s="72">
        <f t="shared" si="1"/>
        <v>-1</v>
      </c>
      <c r="H11" s="71">
        <f>'Presentation Budget'!H10</f>
        <v>4000</v>
      </c>
    </row>
    <row r="12" spans="1:8" ht="15" customHeight="1">
      <c r="A12" s="61"/>
      <c r="B12" s="69" t="str">
        <f>'Presentation Budget'!B11</f>
        <v>Other</v>
      </c>
      <c r="C12" s="61"/>
      <c r="D12" s="70"/>
      <c r="E12" s="71">
        <f>H12*'Control Panel'!$I$5</f>
        <v>0</v>
      </c>
      <c r="F12" s="71">
        <f t="shared" ref="F12" si="4">D12-E12</f>
        <v>0</v>
      </c>
      <c r="G12" s="72">
        <f t="shared" ref="G12" si="5">IFERROR((D12-E12)/E12,0)</f>
        <v>0</v>
      </c>
      <c r="H12" s="71">
        <f>'Presentation Budget'!H11</f>
        <v>0</v>
      </c>
    </row>
    <row r="13" spans="1:8" ht="15" customHeight="1">
      <c r="A13" s="61"/>
      <c r="B13" s="69" t="str">
        <f>'Presentation Budget'!B12</f>
        <v>Sales</v>
      </c>
      <c r="C13" s="61"/>
      <c r="D13" s="70"/>
      <c r="E13" s="71">
        <f>H13*'Control Panel'!$I$5</f>
        <v>13500</v>
      </c>
      <c r="F13" s="71">
        <f t="shared" si="0"/>
        <v>-13500</v>
      </c>
      <c r="G13" s="72">
        <f t="shared" si="1"/>
        <v>-1</v>
      </c>
      <c r="H13" s="71">
        <f>'Presentation Budget'!H12</f>
        <v>18000</v>
      </c>
    </row>
    <row r="14" spans="1:8" ht="15" customHeight="1">
      <c r="A14" s="61"/>
      <c r="B14" s="69" t="str">
        <f>'Presentation Budget'!B13</f>
        <v>Sponsorship</v>
      </c>
      <c r="C14" s="61"/>
      <c r="D14" s="70"/>
      <c r="E14" s="71">
        <f>H14*'Control Panel'!$I$5</f>
        <v>3750</v>
      </c>
      <c r="F14" s="71">
        <f t="shared" si="0"/>
        <v>-3750</v>
      </c>
      <c r="G14" s="72">
        <f t="shared" si="1"/>
        <v>-1</v>
      </c>
      <c r="H14" s="71">
        <f>'Presentation Budget'!H13</f>
        <v>5000</v>
      </c>
    </row>
    <row r="15" spans="1:8" ht="15" customHeight="1">
      <c r="A15" s="61"/>
      <c r="B15" s="62" t="s">
        <v>38</v>
      </c>
      <c r="C15" s="61"/>
      <c r="D15" s="73">
        <f>SUM(D7:D14)</f>
        <v>0</v>
      </c>
      <c r="E15" s="74">
        <f>H15*'Control Panel'!$I$5</f>
        <v>905112.75</v>
      </c>
      <c r="F15" s="74">
        <f t="shared" si="0"/>
        <v>-905112.75</v>
      </c>
      <c r="G15" s="75">
        <f t="shared" si="1"/>
        <v>-1</v>
      </c>
      <c r="H15" s="74">
        <f>'Presentation Budget'!H14</f>
        <v>1206817</v>
      </c>
    </row>
    <row r="16" spans="1:8" ht="15" customHeight="1">
      <c r="A16" s="61"/>
      <c r="B16" s="61"/>
      <c r="C16" s="61"/>
      <c r="D16" s="76"/>
      <c r="E16" s="77"/>
      <c r="F16" s="77"/>
      <c r="G16" s="78"/>
      <c r="H16" s="77"/>
    </row>
    <row r="17" spans="1:8" ht="15" customHeight="1">
      <c r="A17" s="61"/>
      <c r="B17" s="62" t="s">
        <v>3</v>
      </c>
      <c r="C17" s="61"/>
      <c r="D17" s="76"/>
      <c r="E17" s="77"/>
      <c r="F17" s="77"/>
      <c r="G17" s="78"/>
      <c r="H17" s="77"/>
    </row>
    <row r="18" spans="1:8" ht="15" customHeight="1">
      <c r="A18" s="61"/>
      <c r="B18" s="69" t="str">
        <f>'Presentation Budget'!B18</f>
        <v>Advertising &amp; Promotion</v>
      </c>
      <c r="C18" s="61"/>
      <c r="D18" s="70"/>
      <c r="E18" s="71">
        <f>H18*'Control Panel'!$I$5</f>
        <v>22500</v>
      </c>
      <c r="F18" s="71">
        <f t="shared" ref="F18:F30" si="6">D18-E18</f>
        <v>-22500</v>
      </c>
      <c r="G18" s="72">
        <f t="shared" ref="G18:G30" si="7">IFERROR((D18-E18)/E18,0)</f>
        <v>-1</v>
      </c>
      <c r="H18" s="71">
        <f>'Presentation Budget'!H18</f>
        <v>30000</v>
      </c>
    </row>
    <row r="19" spans="1:8" ht="15" customHeight="1">
      <c r="A19" s="61"/>
      <c r="B19" s="69" t="str">
        <f>'Presentation Budget'!B19</f>
        <v>Amortization</v>
      </c>
      <c r="C19" s="61"/>
      <c r="D19" s="70"/>
      <c r="E19" s="71">
        <f>H19*'Control Panel'!$I$5</f>
        <v>0</v>
      </c>
      <c r="F19" s="71">
        <f t="shared" si="6"/>
        <v>0</v>
      </c>
      <c r="G19" s="72">
        <f t="shared" si="7"/>
        <v>0</v>
      </c>
      <c r="H19" s="71">
        <f>'Presentation Budget'!H19</f>
        <v>0</v>
      </c>
    </row>
    <row r="20" spans="1:8" ht="15" customHeight="1">
      <c r="A20" s="61"/>
      <c r="B20" s="69" t="str">
        <f>'Presentation Budget'!B20</f>
        <v>Bank Charges &amp; Interest</v>
      </c>
      <c r="C20" s="61"/>
      <c r="D20" s="70"/>
      <c r="E20" s="71">
        <f>H20*'Control Panel'!$I$5</f>
        <v>750</v>
      </c>
      <c r="F20" s="71">
        <f t="shared" si="6"/>
        <v>-750</v>
      </c>
      <c r="G20" s="72">
        <f t="shared" si="7"/>
        <v>-1</v>
      </c>
      <c r="H20" s="71">
        <f>'Presentation Budget'!H20</f>
        <v>1000</v>
      </c>
    </row>
    <row r="21" spans="1:8" ht="15" customHeight="1">
      <c r="A21" s="61"/>
      <c r="B21" s="69" t="str">
        <f>'Presentation Budget'!B21</f>
        <v>Education and Training</v>
      </c>
      <c r="C21" s="61"/>
      <c r="D21" s="70"/>
      <c r="E21" s="71">
        <f>H21*'Control Panel'!$I$5</f>
        <v>1875</v>
      </c>
      <c r="F21" s="71">
        <f t="shared" si="6"/>
        <v>-1875</v>
      </c>
      <c r="G21" s="72">
        <f t="shared" si="7"/>
        <v>-1</v>
      </c>
      <c r="H21" s="71">
        <f>'Presentation Budget'!H21</f>
        <v>2500</v>
      </c>
    </row>
    <row r="22" spans="1:8" ht="15" customHeight="1">
      <c r="A22" s="61"/>
      <c r="B22" s="69" t="str">
        <f>'Presentation Budget'!B22</f>
        <v>Evaluation</v>
      </c>
      <c r="C22" s="61"/>
      <c r="D22" s="70"/>
      <c r="E22" s="71">
        <f>H22*'Control Panel'!$I$5</f>
        <v>3750</v>
      </c>
      <c r="F22" s="71">
        <f>D22-E22</f>
        <v>-3750</v>
      </c>
      <c r="G22" s="72">
        <f>IFERROR((D22-E22)/E22,0)</f>
        <v>-1</v>
      </c>
      <c r="H22" s="71">
        <f>'Presentation Budget'!H22</f>
        <v>5000</v>
      </c>
    </row>
    <row r="23" spans="1:8" ht="15" customHeight="1">
      <c r="A23" s="61"/>
      <c r="B23" s="69" t="str">
        <f>'Presentation Budget'!B23</f>
        <v>Human Resources</v>
      </c>
      <c r="C23" s="61"/>
      <c r="D23" s="70"/>
      <c r="E23" s="71">
        <f>H23*'Control Panel'!$I$5</f>
        <v>376512</v>
      </c>
      <c r="F23" s="71">
        <f t="shared" si="6"/>
        <v>-376512</v>
      </c>
      <c r="G23" s="72">
        <f t="shared" si="7"/>
        <v>-1</v>
      </c>
      <c r="H23" s="71">
        <f>'Presentation Budget'!H23</f>
        <v>502016</v>
      </c>
    </row>
    <row r="24" spans="1:8" ht="15" customHeight="1">
      <c r="A24" s="61"/>
      <c r="B24" s="69" t="str">
        <f>'Presentation Budget'!B24</f>
        <v>Membership, Dues, Fees</v>
      </c>
      <c r="C24" s="61"/>
      <c r="D24" s="70"/>
      <c r="E24" s="71">
        <f>H24*'Control Panel'!$I$5</f>
        <v>3000</v>
      </c>
      <c r="F24" s="71">
        <f t="shared" si="6"/>
        <v>-3000</v>
      </c>
      <c r="G24" s="72">
        <f t="shared" si="7"/>
        <v>-1</v>
      </c>
      <c r="H24" s="71">
        <f>'Presentation Budget'!H24</f>
        <v>4000</v>
      </c>
    </row>
    <row r="25" spans="1:8" ht="15" customHeight="1">
      <c r="A25" s="61"/>
      <c r="B25" s="69" t="str">
        <f>'Presentation Budget'!B25</f>
        <v>Office &amp; Miscellaneous</v>
      </c>
      <c r="C25" s="61"/>
      <c r="D25" s="70"/>
      <c r="E25" s="71">
        <f>H25*'Control Panel'!$I$5</f>
        <v>13125</v>
      </c>
      <c r="F25" s="71">
        <f t="shared" si="6"/>
        <v>-13125</v>
      </c>
      <c r="G25" s="72">
        <f t="shared" si="7"/>
        <v>-1</v>
      </c>
      <c r="H25" s="71">
        <f>'Presentation Budget'!H25</f>
        <v>17500</v>
      </c>
    </row>
    <row r="26" spans="1:8" ht="15" customHeight="1">
      <c r="A26" s="61"/>
      <c r="B26" s="69" t="str">
        <f>'Presentation Budget'!B26</f>
        <v>Occupancy Costs</v>
      </c>
      <c r="C26" s="61"/>
      <c r="D26" s="70"/>
      <c r="E26" s="71">
        <f>H26*'Control Panel'!$I$5</f>
        <v>48300</v>
      </c>
      <c r="F26" s="71">
        <f t="shared" si="6"/>
        <v>-48300</v>
      </c>
      <c r="G26" s="72">
        <f t="shared" si="7"/>
        <v>-1</v>
      </c>
      <c r="H26" s="71">
        <f>'Presentation Budget'!H26</f>
        <v>64400</v>
      </c>
    </row>
    <row r="27" spans="1:8" ht="15" customHeight="1">
      <c r="A27" s="61"/>
      <c r="B27" s="69" t="str">
        <f>'Presentation Budget'!B27</f>
        <v>Professional Fees</v>
      </c>
      <c r="C27" s="61"/>
      <c r="D27" s="70"/>
      <c r="E27" s="71">
        <f>H27*'Control Panel'!$I$5</f>
        <v>1875</v>
      </c>
      <c r="F27" s="71">
        <f t="shared" si="6"/>
        <v>-1875</v>
      </c>
      <c r="G27" s="72">
        <f t="shared" si="7"/>
        <v>-1</v>
      </c>
      <c r="H27" s="71">
        <f>'Presentation Budget'!H27</f>
        <v>2500</v>
      </c>
    </row>
    <row r="28" spans="1:8" ht="15" customHeight="1">
      <c r="A28" s="61"/>
      <c r="B28" s="69" t="str">
        <f>'Presentation Budget'!B28</f>
        <v>Purchased Supplies and Assets</v>
      </c>
      <c r="C28" s="61"/>
      <c r="D28" s="70"/>
      <c r="E28" s="71">
        <f>H28*'Control Panel'!$I$5</f>
        <v>260250</v>
      </c>
      <c r="F28" s="71">
        <f t="shared" si="6"/>
        <v>-260250</v>
      </c>
      <c r="G28" s="72">
        <f t="shared" si="7"/>
        <v>-1</v>
      </c>
      <c r="H28" s="71">
        <f>'Presentation Budget'!H28</f>
        <v>347000</v>
      </c>
    </row>
    <row r="29" spans="1:8" ht="15" customHeight="1">
      <c r="A29" s="61"/>
      <c r="B29" s="69" t="str">
        <f>'Presentation Budget'!B29</f>
        <v xml:space="preserve">Travel &amp; Meals </v>
      </c>
      <c r="C29" s="61"/>
      <c r="D29" s="70"/>
      <c r="E29" s="71">
        <f>H29*'Control Panel'!$I$5</f>
        <v>12750</v>
      </c>
      <c r="F29" s="71">
        <f t="shared" si="6"/>
        <v>-12750</v>
      </c>
      <c r="G29" s="72">
        <f t="shared" si="7"/>
        <v>-1</v>
      </c>
      <c r="H29" s="71">
        <f>'Presentation Budget'!H29</f>
        <v>17000</v>
      </c>
    </row>
    <row r="30" spans="1:8" ht="15" customHeight="1">
      <c r="A30" s="61"/>
      <c r="B30" s="62" t="s">
        <v>9</v>
      </c>
      <c r="C30" s="61"/>
      <c r="D30" s="73">
        <f>SUM(D18:D29)</f>
        <v>0</v>
      </c>
      <c r="E30" s="74">
        <f>H30*'Control Panel'!$I$5</f>
        <v>744687</v>
      </c>
      <c r="F30" s="74">
        <f t="shared" si="6"/>
        <v>-744687</v>
      </c>
      <c r="G30" s="75">
        <f t="shared" si="7"/>
        <v>-1</v>
      </c>
      <c r="H30" s="74">
        <f>'Presentation Budget'!H30</f>
        <v>992916</v>
      </c>
    </row>
    <row r="31" spans="1:8" ht="15" customHeight="1">
      <c r="A31" s="61"/>
      <c r="B31" s="62"/>
      <c r="C31" s="61"/>
      <c r="D31" s="76"/>
      <c r="E31" s="77"/>
      <c r="F31" s="77"/>
      <c r="G31" s="78"/>
      <c r="H31" s="79"/>
    </row>
    <row r="32" spans="1:8" ht="15" customHeight="1" thickBot="1">
      <c r="A32" s="61"/>
      <c r="B32" s="62" t="s">
        <v>5</v>
      </c>
      <c r="C32" s="61"/>
      <c r="D32" s="80">
        <f>D15-D30</f>
        <v>0</v>
      </c>
      <c r="E32" s="81">
        <f>H32*'Control Panel'!$I$5</f>
        <v>160425.75</v>
      </c>
      <c r="F32" s="81">
        <f>D32-E32</f>
        <v>-160425.75</v>
      </c>
      <c r="G32" s="82">
        <f>IFERROR((D32-E32)/ABS(E32),0)</f>
        <v>-1</v>
      </c>
      <c r="H32" s="81">
        <f>'Presentation Budget'!H32</f>
        <v>213901</v>
      </c>
    </row>
    <row r="33" spans="7:7" ht="16" thickTop="1">
      <c r="G33" s="3"/>
    </row>
  </sheetData>
  <sheetProtection selectLockedCells="1"/>
  <phoneticPr fontId="14" type="noConversion"/>
  <pageMargins left="0.7" right="0.7" top="0.75" bottom="0.75" header="0.3" footer="0.3"/>
  <pageSetup scale="74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33"/>
  <sheetViews>
    <sheetView showGridLines="0" workbookViewId="0">
      <selection activeCell="D18" sqref="D18:D29"/>
    </sheetView>
  </sheetViews>
  <sheetFormatPr baseColWidth="10" defaultColWidth="9" defaultRowHeight="15"/>
  <cols>
    <col min="1" max="1" width="4.6640625" customWidth="1"/>
    <col min="2" max="2" width="28.1640625" bestFit="1" customWidth="1"/>
    <col min="3" max="3" width="2.6640625" customWidth="1"/>
    <col min="4" max="8" width="15.6640625" customWidth="1"/>
    <col min="10" max="11" width="13.6640625" customWidth="1"/>
  </cols>
  <sheetData>
    <row r="1" spans="1:8" ht="20" customHeight="1">
      <c r="A1" s="85" t="s">
        <v>96</v>
      </c>
    </row>
    <row r="2" spans="1:8" ht="20" customHeight="1">
      <c r="A2" s="36" t="s">
        <v>41</v>
      </c>
      <c r="B2" s="30"/>
      <c r="C2" s="51"/>
    </row>
    <row r="3" spans="1:8" ht="20" customHeight="1">
      <c r="A3" s="18" t="str">
        <f>CONCATENATE("For the Quarter Ending ", 'Control Panel'!I11," ",  'Control Panel'!C4)</f>
        <v>For the Quarter Ending June 30, 2024</v>
      </c>
      <c r="B3" s="52"/>
      <c r="C3" s="52"/>
    </row>
    <row r="4" spans="1:8" ht="22.25" customHeight="1"/>
    <row r="5" spans="1:8" ht="15" customHeight="1">
      <c r="D5" s="53" t="s">
        <v>36</v>
      </c>
      <c r="E5" s="53" t="s">
        <v>35</v>
      </c>
      <c r="F5" s="53" t="s">
        <v>40</v>
      </c>
      <c r="G5" s="53" t="s">
        <v>45</v>
      </c>
      <c r="H5" s="53" t="str">
        <f>CONCATENATE('Control Panel'!C4," ", "Total Budget")</f>
        <v>2024 Total Budget</v>
      </c>
    </row>
    <row r="6" spans="1:8" ht="15" customHeight="1">
      <c r="B6" s="14" t="s">
        <v>39</v>
      </c>
      <c r="D6" s="30"/>
      <c r="E6" s="30"/>
      <c r="F6" s="30"/>
      <c r="G6" s="30"/>
      <c r="H6" s="30"/>
    </row>
    <row r="7" spans="1:8" ht="15" customHeight="1">
      <c r="B7" s="40" t="str">
        <f>'Presentation Budget'!B6</f>
        <v>Contracts</v>
      </c>
      <c r="D7" s="4"/>
      <c r="E7" s="25">
        <f>H7*'Control Panel'!$I$12</f>
        <v>857293</v>
      </c>
      <c r="F7" s="25">
        <f>D7-E7</f>
        <v>-857293</v>
      </c>
      <c r="G7" s="5">
        <f>IFERROR((D7-E7)/E7,0)</f>
        <v>-1</v>
      </c>
      <c r="H7" s="25">
        <f>'Presentation Budget'!H6</f>
        <v>857293</v>
      </c>
    </row>
    <row r="8" spans="1:8" ht="15" customHeight="1">
      <c r="B8" s="40" t="str">
        <f>'Presentation Budget'!B7</f>
        <v>Donations</v>
      </c>
      <c r="D8" s="4"/>
      <c r="E8" s="25">
        <f>H8*'Control Panel'!$I$12</f>
        <v>0</v>
      </c>
      <c r="F8" s="25">
        <f t="shared" ref="F8:F15" si="0">D8-E8</f>
        <v>0</v>
      </c>
      <c r="G8" s="5">
        <f t="shared" ref="G8:G15" si="1">IFERROR((D8-E8)/E8,0)</f>
        <v>0</v>
      </c>
      <c r="H8" s="25">
        <f>'Presentation Budget'!H7</f>
        <v>0</v>
      </c>
    </row>
    <row r="9" spans="1:8" ht="15" customHeight="1">
      <c r="B9" s="40" t="str">
        <f>'Presentation Budget'!B8</f>
        <v>Events</v>
      </c>
      <c r="D9" s="4"/>
      <c r="E9" s="25">
        <f>H9*'Control Panel'!$I$12</f>
        <v>0</v>
      </c>
      <c r="F9" s="25">
        <f t="shared" ref="F9" si="2">D9-E9</f>
        <v>0</v>
      </c>
      <c r="G9" s="5">
        <f t="shared" ref="G9" si="3">IFERROR((D9-E9)/E9,0)</f>
        <v>0</v>
      </c>
      <c r="H9" s="25">
        <f>'Presentation Budget'!H8</f>
        <v>0</v>
      </c>
    </row>
    <row r="10" spans="1:8" ht="15" customHeight="1">
      <c r="B10" s="40" t="str">
        <f>'Presentation Budget'!B9</f>
        <v>Grants</v>
      </c>
      <c r="C10" s="36"/>
      <c r="D10" s="4"/>
      <c r="E10" s="25">
        <f>H10*'Control Panel'!$I$12</f>
        <v>322524</v>
      </c>
      <c r="F10" s="25">
        <f t="shared" si="0"/>
        <v>-322524</v>
      </c>
      <c r="G10" s="5">
        <f t="shared" si="1"/>
        <v>-1</v>
      </c>
      <c r="H10" s="25">
        <f>'Presentation Budget'!H9</f>
        <v>322524</v>
      </c>
    </row>
    <row r="11" spans="1:8" ht="15" customHeight="1">
      <c r="B11" s="40" t="str">
        <f>'Presentation Budget'!B10</f>
        <v>Interest and Investments</v>
      </c>
      <c r="D11" s="4"/>
      <c r="E11" s="25">
        <f>H11*'Control Panel'!$I$12</f>
        <v>4000</v>
      </c>
      <c r="F11" s="25">
        <f t="shared" si="0"/>
        <v>-4000</v>
      </c>
      <c r="G11" s="5">
        <f t="shared" si="1"/>
        <v>-1</v>
      </c>
      <c r="H11" s="25">
        <f>'Presentation Budget'!H10</f>
        <v>4000</v>
      </c>
    </row>
    <row r="12" spans="1:8" ht="15" customHeight="1">
      <c r="B12" s="40" t="str">
        <f>'Presentation Budget'!B11</f>
        <v>Other</v>
      </c>
      <c r="D12" s="4"/>
      <c r="E12" s="25">
        <f>H12*'Control Panel'!$I$12</f>
        <v>0</v>
      </c>
      <c r="F12" s="25">
        <f t="shared" ref="F12" si="4">D12-E12</f>
        <v>0</v>
      </c>
      <c r="G12" s="5">
        <f t="shared" ref="G12" si="5">IFERROR((D12-E12)/E12,0)</f>
        <v>0</v>
      </c>
      <c r="H12" s="25">
        <f>'Presentation Budget'!H11</f>
        <v>0</v>
      </c>
    </row>
    <row r="13" spans="1:8" ht="15" customHeight="1">
      <c r="B13" s="40" t="str">
        <f>'Presentation Budget'!B12</f>
        <v>Sales</v>
      </c>
      <c r="D13" s="4"/>
      <c r="E13" s="25">
        <f>H13*'Control Panel'!$I$12</f>
        <v>18000</v>
      </c>
      <c r="F13" s="25">
        <f t="shared" si="0"/>
        <v>-18000</v>
      </c>
      <c r="G13" s="5">
        <f t="shared" si="1"/>
        <v>-1</v>
      </c>
      <c r="H13" s="25">
        <f>'Presentation Budget'!H12</f>
        <v>18000</v>
      </c>
    </row>
    <row r="14" spans="1:8" ht="15" customHeight="1">
      <c r="B14" s="40" t="str">
        <f>'Presentation Budget'!B13</f>
        <v>Sponsorship</v>
      </c>
      <c r="D14" s="4"/>
      <c r="E14" s="25">
        <f>H14*'Control Panel'!$I$12</f>
        <v>5000</v>
      </c>
      <c r="F14" s="25">
        <f t="shared" si="0"/>
        <v>-5000</v>
      </c>
      <c r="G14" s="5">
        <f t="shared" si="1"/>
        <v>-1</v>
      </c>
      <c r="H14" s="25">
        <f>'Presentation Budget'!H13</f>
        <v>5000</v>
      </c>
    </row>
    <row r="15" spans="1:8" ht="15" customHeight="1">
      <c r="B15" s="36" t="s">
        <v>38</v>
      </c>
      <c r="D15" s="54">
        <f>SUM(D7:D14)</f>
        <v>0</v>
      </c>
      <c r="E15" s="55">
        <f>H15*'Control Panel'!$I$12</f>
        <v>1206817</v>
      </c>
      <c r="F15" s="55">
        <f t="shared" si="0"/>
        <v>-1206817</v>
      </c>
      <c r="G15" s="6">
        <f t="shared" si="1"/>
        <v>-1</v>
      </c>
      <c r="H15" s="55">
        <f>'Presentation Budget'!H14</f>
        <v>1206817</v>
      </c>
    </row>
    <row r="16" spans="1:8" ht="15" customHeight="1">
      <c r="D16" s="56"/>
      <c r="E16" s="57"/>
      <c r="F16" s="57"/>
      <c r="G16" s="7"/>
      <c r="H16" s="57"/>
    </row>
    <row r="17" spans="2:8" ht="15" customHeight="1">
      <c r="B17" s="36" t="s">
        <v>3</v>
      </c>
      <c r="D17" s="56"/>
      <c r="E17" s="57"/>
      <c r="F17" s="57"/>
      <c r="G17" s="7"/>
      <c r="H17" s="57"/>
    </row>
    <row r="18" spans="2:8" ht="15" customHeight="1">
      <c r="B18" s="40" t="str">
        <f>'Presentation Budget'!B18</f>
        <v>Advertising &amp; Promotion</v>
      </c>
      <c r="D18" s="4"/>
      <c r="E18" s="25">
        <f>H18*'Control Panel'!$I$12</f>
        <v>30000</v>
      </c>
      <c r="F18" s="25">
        <f t="shared" ref="F18:F30" si="6">D18-E18</f>
        <v>-30000</v>
      </c>
      <c r="G18" s="5">
        <f t="shared" ref="G18:G30" si="7">IFERROR((D18-E18)/E18,0)</f>
        <v>-1</v>
      </c>
      <c r="H18" s="25">
        <f>'Presentation Budget'!H18</f>
        <v>30000</v>
      </c>
    </row>
    <row r="19" spans="2:8" ht="15" customHeight="1">
      <c r="B19" s="40" t="str">
        <f>'Presentation Budget'!B19</f>
        <v>Amortization</v>
      </c>
      <c r="D19" s="4"/>
      <c r="E19" s="25">
        <f>H19*'Control Panel'!$I$12</f>
        <v>0</v>
      </c>
      <c r="F19" s="25">
        <f t="shared" si="6"/>
        <v>0</v>
      </c>
      <c r="G19" s="5">
        <f t="shared" si="7"/>
        <v>0</v>
      </c>
      <c r="H19" s="25">
        <f>'Presentation Budget'!H19</f>
        <v>0</v>
      </c>
    </row>
    <row r="20" spans="2:8" ht="15" customHeight="1">
      <c r="B20" s="40" t="str">
        <f>'Presentation Budget'!B20</f>
        <v>Bank Charges &amp; Interest</v>
      </c>
      <c r="D20" s="4"/>
      <c r="E20" s="25">
        <f>H20*'Control Panel'!$I$12</f>
        <v>1000</v>
      </c>
      <c r="F20" s="25">
        <f t="shared" si="6"/>
        <v>-1000</v>
      </c>
      <c r="G20" s="5">
        <f t="shared" si="7"/>
        <v>-1</v>
      </c>
      <c r="H20" s="25">
        <f>'Presentation Budget'!H20</f>
        <v>1000</v>
      </c>
    </row>
    <row r="21" spans="2:8" ht="15" customHeight="1">
      <c r="B21" s="40" t="str">
        <f>'Presentation Budget'!B21</f>
        <v>Education and Training</v>
      </c>
      <c r="D21" s="4"/>
      <c r="E21" s="25">
        <f>H21*'Control Panel'!$I$12</f>
        <v>2500</v>
      </c>
      <c r="F21" s="25">
        <f t="shared" si="6"/>
        <v>-2500</v>
      </c>
      <c r="G21" s="5">
        <f t="shared" si="7"/>
        <v>-1</v>
      </c>
      <c r="H21" s="25">
        <f>'Presentation Budget'!H21</f>
        <v>2500</v>
      </c>
    </row>
    <row r="22" spans="2:8" ht="15" customHeight="1">
      <c r="B22" s="40" t="str">
        <f>'Presentation Budget'!B22</f>
        <v>Evaluation</v>
      </c>
      <c r="D22" s="4"/>
      <c r="E22" s="25">
        <f>H22*'Control Panel'!$I$12</f>
        <v>5000</v>
      </c>
      <c r="F22" s="25">
        <f>D22-E22</f>
        <v>-5000</v>
      </c>
      <c r="G22" s="5">
        <f>IFERROR((D22-E22)/E22,0)</f>
        <v>-1</v>
      </c>
      <c r="H22" s="25">
        <f>'Presentation Budget'!H22</f>
        <v>5000</v>
      </c>
    </row>
    <row r="23" spans="2:8" ht="15" customHeight="1">
      <c r="B23" s="40" t="str">
        <f>'Presentation Budget'!B23</f>
        <v>Human Resources</v>
      </c>
      <c r="D23" s="4"/>
      <c r="E23" s="25">
        <f>H23*'Control Panel'!$I$12</f>
        <v>502016</v>
      </c>
      <c r="F23" s="25">
        <f t="shared" si="6"/>
        <v>-502016</v>
      </c>
      <c r="G23" s="5">
        <f t="shared" si="7"/>
        <v>-1</v>
      </c>
      <c r="H23" s="25">
        <f>'Presentation Budget'!H23</f>
        <v>502016</v>
      </c>
    </row>
    <row r="24" spans="2:8" ht="15" customHeight="1">
      <c r="B24" s="40" t="str">
        <f>'Presentation Budget'!B24</f>
        <v>Membership, Dues, Fees</v>
      </c>
      <c r="D24" s="4"/>
      <c r="E24" s="25">
        <f>H24*'Control Panel'!$I$12</f>
        <v>4000</v>
      </c>
      <c r="F24" s="25">
        <f t="shared" si="6"/>
        <v>-4000</v>
      </c>
      <c r="G24" s="5">
        <f t="shared" si="7"/>
        <v>-1</v>
      </c>
      <c r="H24" s="25">
        <f>'Presentation Budget'!H24</f>
        <v>4000</v>
      </c>
    </row>
    <row r="25" spans="2:8" ht="15" customHeight="1">
      <c r="B25" s="40" t="str">
        <f>'Presentation Budget'!B25</f>
        <v>Office &amp; Miscellaneous</v>
      </c>
      <c r="D25" s="4"/>
      <c r="E25" s="25">
        <f>H25*'Control Panel'!$I$12</f>
        <v>17500</v>
      </c>
      <c r="F25" s="25">
        <f t="shared" si="6"/>
        <v>-17500</v>
      </c>
      <c r="G25" s="5">
        <f t="shared" si="7"/>
        <v>-1</v>
      </c>
      <c r="H25" s="25">
        <f>'Presentation Budget'!H25</f>
        <v>17500</v>
      </c>
    </row>
    <row r="26" spans="2:8" ht="15" customHeight="1">
      <c r="B26" s="40" t="str">
        <f>'Presentation Budget'!B26</f>
        <v>Occupancy Costs</v>
      </c>
      <c r="D26" s="4"/>
      <c r="E26" s="25">
        <f>H26*'Control Panel'!$I$12</f>
        <v>64400</v>
      </c>
      <c r="F26" s="25">
        <f t="shared" si="6"/>
        <v>-64400</v>
      </c>
      <c r="G26" s="5">
        <f t="shared" si="7"/>
        <v>-1</v>
      </c>
      <c r="H26" s="25">
        <f>'Presentation Budget'!H26</f>
        <v>64400</v>
      </c>
    </row>
    <row r="27" spans="2:8" ht="15" customHeight="1">
      <c r="B27" s="40" t="str">
        <f>'Presentation Budget'!B27</f>
        <v>Professional Fees</v>
      </c>
      <c r="D27" s="4"/>
      <c r="E27" s="25">
        <f>H27*'Control Panel'!$I$12</f>
        <v>2500</v>
      </c>
      <c r="F27" s="25">
        <f t="shared" si="6"/>
        <v>-2500</v>
      </c>
      <c r="G27" s="5">
        <f t="shared" si="7"/>
        <v>-1</v>
      </c>
      <c r="H27" s="25">
        <f>'Presentation Budget'!H27</f>
        <v>2500</v>
      </c>
    </row>
    <row r="28" spans="2:8" ht="15" customHeight="1">
      <c r="B28" s="40" t="str">
        <f>'Presentation Budget'!B28</f>
        <v>Purchased Supplies and Assets</v>
      </c>
      <c r="D28" s="4"/>
      <c r="E28" s="25">
        <f>H28*'Control Panel'!$I$12</f>
        <v>347000</v>
      </c>
      <c r="F28" s="25">
        <f t="shared" si="6"/>
        <v>-347000</v>
      </c>
      <c r="G28" s="5">
        <f t="shared" si="7"/>
        <v>-1</v>
      </c>
      <c r="H28" s="25">
        <f>'Presentation Budget'!H28</f>
        <v>347000</v>
      </c>
    </row>
    <row r="29" spans="2:8" ht="15" customHeight="1">
      <c r="B29" s="40" t="str">
        <f>'Presentation Budget'!B29</f>
        <v xml:space="preserve">Travel &amp; Meals </v>
      </c>
      <c r="D29" s="4"/>
      <c r="E29" s="25">
        <f>H29*'Control Panel'!$I$12</f>
        <v>17000</v>
      </c>
      <c r="F29" s="25">
        <f t="shared" si="6"/>
        <v>-17000</v>
      </c>
      <c r="G29" s="5">
        <f t="shared" si="7"/>
        <v>-1</v>
      </c>
      <c r="H29" s="25">
        <f>'Presentation Budget'!H29</f>
        <v>17000</v>
      </c>
    </row>
    <row r="30" spans="2:8" ht="15" customHeight="1">
      <c r="B30" s="36" t="s">
        <v>9</v>
      </c>
      <c r="D30" s="54">
        <f>SUM(D18:D29)</f>
        <v>0</v>
      </c>
      <c r="E30" s="55">
        <f>H30*'Control Panel'!$I$12</f>
        <v>992916</v>
      </c>
      <c r="F30" s="55">
        <f t="shared" si="6"/>
        <v>-992916</v>
      </c>
      <c r="G30" s="6">
        <f t="shared" si="7"/>
        <v>-1</v>
      </c>
      <c r="H30" s="55">
        <f>'Presentation Budget'!H30</f>
        <v>992916</v>
      </c>
    </row>
    <row r="31" spans="2:8" ht="15" customHeight="1">
      <c r="B31" s="36"/>
      <c r="D31" s="56"/>
      <c r="E31" s="57"/>
      <c r="F31" s="57"/>
      <c r="G31" s="7"/>
      <c r="H31" s="58"/>
    </row>
    <row r="32" spans="2:8" ht="15" customHeight="1" thickBot="1">
      <c r="B32" s="36" t="s">
        <v>5</v>
      </c>
      <c r="D32" s="59">
        <f>D15-D30</f>
        <v>0</v>
      </c>
      <c r="E32" s="60">
        <f>H32*'Control Panel'!$I$12</f>
        <v>213901</v>
      </c>
      <c r="F32" s="60">
        <f>D32-E32</f>
        <v>-213901</v>
      </c>
      <c r="G32" s="8">
        <f>IFERROR((D32-E32)/ABS(E32),0)</f>
        <v>-1</v>
      </c>
      <c r="H32" s="60">
        <f>'Presentation Budget'!H32</f>
        <v>213901</v>
      </c>
    </row>
    <row r="33" spans="7:7" ht="16" thickTop="1">
      <c r="G33" s="3"/>
    </row>
  </sheetData>
  <sheetProtection selectLockedCells="1"/>
  <phoneticPr fontId="14" type="noConversion"/>
  <pageMargins left="0.7" right="0.7" top="0.75" bottom="0.75" header="0.3" footer="0.3"/>
  <pageSetup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Control Panel</vt:lpstr>
      <vt:lpstr>Annual Budget</vt:lpstr>
      <vt:lpstr>Presentation Budget</vt:lpstr>
      <vt:lpstr>Q1 Report</vt:lpstr>
      <vt:lpstr>Q2 Report</vt:lpstr>
      <vt:lpstr>Q3 Report</vt:lpstr>
      <vt:lpstr>Q4 Report</vt:lpstr>
      <vt:lpstr>'Annual Budget'!Print_Area</vt:lpstr>
      <vt:lpstr>'Presentation Budget'!Print_Area</vt:lpstr>
      <vt:lpstr>'Q1 Report'!Print_Area</vt:lpstr>
      <vt:lpstr>'Q2 Report'!Print_Area</vt:lpstr>
      <vt:lpstr>'Q3 Report'!Print_Area</vt:lpstr>
      <vt:lpstr>'Q4 Report'!Print_Area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Jamil Bhimji</dc:creator>
  <cp:lastModifiedBy>Matthew Kemshaw</cp:lastModifiedBy>
  <cp:lastPrinted>2024-09-08T22:01:00Z</cp:lastPrinted>
  <dcterms:created xsi:type="dcterms:W3CDTF">2015-06-05T18:17:20Z</dcterms:created>
  <dcterms:modified xsi:type="dcterms:W3CDTF">2025-03-10T20:00:37Z</dcterms:modified>
</cp:coreProperties>
</file>