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matthewkemshaw/Documents/Flourish!/Finances/2025F/"/>
    </mc:Choice>
  </mc:AlternateContent>
  <bookViews>
    <workbookView xWindow="35600" yWindow="500" windowWidth="33020" windowHeight="21100" tabRatio="500"/>
  </bookViews>
  <sheets>
    <sheet name="Model" sheetId="1" r:id="rId1"/>
  </sheets>
  <externalReferences>
    <externalReference r:id="rId2"/>
  </externalReferences>
  <calcPr calcId="150001" iterate="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JKlutCEBFsHLjUHi8R8wPqqaX86HWVobVvWR1rbmWog="/>
    </ext>
  </extLst>
</workbook>
</file>

<file path=xl/calcChain.xml><?xml version="1.0" encoding="utf-8"?>
<calcChain xmlns="http://schemas.openxmlformats.org/spreadsheetml/2006/main">
  <c r="L44" i="1" l="1"/>
  <c r="L43" i="1"/>
  <c r="L36" i="1"/>
  <c r="K221" i="1"/>
  <c r="K219" i="1"/>
  <c r="K226" i="1"/>
  <c r="K306" i="1" a="1"/>
  <c r="K306" i="1"/>
  <c r="K305" i="1" a="1"/>
  <c r="K305" i="1"/>
  <c r="K229" i="1"/>
  <c r="K230" i="1"/>
  <c r="K238" i="1"/>
  <c r="K188" i="1"/>
  <c r="K131" i="1"/>
  <c r="K132" i="1"/>
  <c r="K134" i="1"/>
  <c r="K141" i="1"/>
  <c r="K142" i="1"/>
  <c r="K144" i="1"/>
  <c r="K146" i="1"/>
  <c r="K173" i="1"/>
  <c r="K179" i="1"/>
  <c r="K334" i="1"/>
  <c r="L34" i="1"/>
  <c r="L46" i="1"/>
  <c r="M156" i="1"/>
  <c r="N156" i="1"/>
  <c r="O156" i="1"/>
  <c r="P156" i="1"/>
  <c r="M155" i="1"/>
  <c r="N155" i="1"/>
  <c r="O155" i="1"/>
  <c r="P155" i="1"/>
  <c r="M154" i="1"/>
  <c r="N154" i="1"/>
  <c r="O154" i="1"/>
  <c r="P154" i="1"/>
  <c r="K333" i="1"/>
  <c r="F321" i="1"/>
  <c r="F313" i="1"/>
  <c r="F322" i="1"/>
  <c r="F314" i="1"/>
  <c r="F315" i="1"/>
  <c r="F323" i="1"/>
  <c r="F316" i="1"/>
  <c r="F324" i="1"/>
  <c r="F317" i="1"/>
  <c r="F326" i="1"/>
  <c r="F325" i="1"/>
  <c r="N123" i="1"/>
  <c r="N122" i="1"/>
  <c r="O122" i="1"/>
  <c r="P122" i="1"/>
  <c r="N121" i="1"/>
  <c r="N120" i="1"/>
  <c r="N119" i="1"/>
  <c r="N117" i="1"/>
  <c r="J2" i="1"/>
  <c r="K93" i="1"/>
  <c r="L2" i="1"/>
  <c r="M2" i="1"/>
  <c r="C123" i="1"/>
  <c r="C133" i="1"/>
  <c r="C143" i="1"/>
  <c r="C122" i="1"/>
  <c r="C132" i="1"/>
  <c r="C142" i="1"/>
  <c r="C121" i="1"/>
  <c r="C131" i="1"/>
  <c r="C141" i="1"/>
  <c r="C120" i="1"/>
  <c r="C130" i="1"/>
  <c r="C140" i="1"/>
  <c r="C119" i="1"/>
  <c r="C129" i="1"/>
  <c r="C139" i="1"/>
  <c r="C118" i="1"/>
  <c r="C128" i="1"/>
  <c r="C138" i="1"/>
  <c r="C117" i="1"/>
  <c r="C127" i="1"/>
  <c r="C137" i="1"/>
  <c r="P114" i="1"/>
  <c r="O114" i="1"/>
  <c r="N114" i="1"/>
  <c r="M114" i="1"/>
  <c r="L114" i="1"/>
  <c r="K114" i="1"/>
  <c r="P104" i="1"/>
  <c r="O104" i="1"/>
  <c r="N104" i="1"/>
  <c r="M104" i="1"/>
  <c r="L104" i="1"/>
  <c r="P101" i="1"/>
  <c r="O101" i="1"/>
  <c r="N101" i="1"/>
  <c r="M101" i="1"/>
  <c r="L101" i="1"/>
  <c r="P99" i="1"/>
  <c r="O99" i="1"/>
  <c r="N99" i="1"/>
  <c r="M99" i="1"/>
  <c r="L99" i="1"/>
  <c r="K104" i="1"/>
  <c r="K101" i="1"/>
  <c r="K99" i="1"/>
  <c r="P62" i="1"/>
  <c r="O62" i="1"/>
  <c r="N62" i="1"/>
  <c r="M62" i="1"/>
  <c r="L62" i="1"/>
  <c r="K62" i="1"/>
  <c r="P92" i="1"/>
  <c r="O92" i="1"/>
  <c r="N92" i="1"/>
  <c r="M92" i="1"/>
  <c r="L92" i="1"/>
  <c r="K92" i="1"/>
  <c r="M85" i="1"/>
  <c r="N85" i="1"/>
  <c r="O85" i="1"/>
  <c r="P85" i="1"/>
  <c r="K49" i="1"/>
  <c r="K129" i="1"/>
  <c r="K139" i="1"/>
  <c r="K128" i="1"/>
  <c r="K138" i="1"/>
  <c r="K130" i="1"/>
  <c r="K140" i="1"/>
  <c r="K127" i="1"/>
  <c r="K133" i="1"/>
  <c r="K143" i="1"/>
  <c r="O119" i="1"/>
  <c r="O121" i="1"/>
  <c r="O120" i="1"/>
  <c r="O123" i="1"/>
  <c r="O117" i="1"/>
  <c r="N2" i="1"/>
  <c r="N93" i="1"/>
  <c r="N128" i="1"/>
  <c r="L93" i="1"/>
  <c r="M93" i="1"/>
  <c r="L26" i="1"/>
  <c r="K12" i="1"/>
  <c r="K4" i="1"/>
  <c r="K311" i="1"/>
  <c r="K320" i="1"/>
  <c r="N129" i="1"/>
  <c r="N139" i="1"/>
  <c r="N133" i="1"/>
  <c r="N143" i="1"/>
  <c r="N131" i="1"/>
  <c r="N141" i="1"/>
  <c r="N127" i="1"/>
  <c r="N130" i="1"/>
  <c r="N140" i="1"/>
  <c r="L131" i="1"/>
  <c r="L141" i="1"/>
  <c r="L128" i="1"/>
  <c r="L138" i="1"/>
  <c r="L130" i="1"/>
  <c r="L140" i="1"/>
  <c r="L133" i="1"/>
  <c r="L143" i="1"/>
  <c r="L127" i="1"/>
  <c r="L129" i="1"/>
  <c r="L139" i="1"/>
  <c r="M133" i="1"/>
  <c r="M143" i="1"/>
  <c r="M131" i="1"/>
  <c r="M141" i="1"/>
  <c r="M128" i="1"/>
  <c r="M138" i="1"/>
  <c r="M130" i="1"/>
  <c r="M140" i="1"/>
  <c r="M127" i="1"/>
  <c r="M129" i="1"/>
  <c r="M139" i="1"/>
  <c r="P123" i="1"/>
  <c r="P120" i="1"/>
  <c r="P121" i="1"/>
  <c r="P117" i="1"/>
  <c r="P119" i="1"/>
  <c r="N138" i="1"/>
  <c r="K137" i="1"/>
  <c r="O2" i="1"/>
  <c r="K18" i="1"/>
  <c r="P2" i="1"/>
  <c r="P93" i="1"/>
  <c r="P128" i="1"/>
  <c r="L137" i="1"/>
  <c r="N137" i="1"/>
  <c r="M137" i="1"/>
  <c r="O93" i="1"/>
  <c r="P131" i="1"/>
  <c r="P141" i="1"/>
  <c r="P127" i="1"/>
  <c r="P130" i="1"/>
  <c r="P140" i="1"/>
  <c r="O128" i="1"/>
  <c r="O138" i="1"/>
  <c r="O127" i="1"/>
  <c r="O129" i="1"/>
  <c r="O139" i="1"/>
  <c r="O131" i="1"/>
  <c r="O141" i="1"/>
  <c r="O130" i="1"/>
  <c r="O140" i="1"/>
  <c r="O133" i="1"/>
  <c r="O143" i="1"/>
  <c r="P133" i="1"/>
  <c r="P143" i="1"/>
  <c r="P129" i="1"/>
  <c r="P139" i="1"/>
  <c r="P138" i="1"/>
  <c r="P137" i="1"/>
  <c r="O137" i="1"/>
  <c r="P68" i="1"/>
  <c r="P69" i="1"/>
  <c r="P72" i="1"/>
  <c r="O68" i="1"/>
  <c r="O69" i="1"/>
  <c r="O72" i="1"/>
  <c r="N68" i="1"/>
  <c r="N69" i="1"/>
  <c r="N72" i="1"/>
  <c r="M68" i="1"/>
  <c r="M69" i="1"/>
  <c r="M72" i="1"/>
  <c r="L68" i="1"/>
  <c r="L69" i="1"/>
  <c r="L72" i="1"/>
  <c r="K68" i="1"/>
  <c r="K69" i="1"/>
  <c r="K72" i="1"/>
  <c r="L198" i="1"/>
  <c r="P81" i="1"/>
  <c r="O81" i="1"/>
  <c r="N81" i="1"/>
  <c r="M81" i="1"/>
  <c r="L81" i="1"/>
  <c r="K81" i="1"/>
  <c r="P77" i="1"/>
  <c r="O77" i="1"/>
  <c r="N77" i="1"/>
  <c r="M77" i="1"/>
  <c r="L77" i="1"/>
  <c r="K77" i="1"/>
  <c r="L12" i="1"/>
  <c r="O83" i="1"/>
  <c r="O87" i="1"/>
  <c r="O172" i="1"/>
  <c r="P83" i="1"/>
  <c r="P87" i="1"/>
  <c r="P172" i="1"/>
  <c r="L83" i="1"/>
  <c r="L87" i="1"/>
  <c r="L172" i="1"/>
  <c r="M83" i="1"/>
  <c r="M87" i="1"/>
  <c r="M172" i="1"/>
  <c r="N83" i="1"/>
  <c r="N87" i="1"/>
  <c r="N172" i="1"/>
  <c r="K83" i="1"/>
  <c r="K87" i="1"/>
  <c r="K172" i="1"/>
  <c r="M45" i="1"/>
  <c r="N45" i="1"/>
  <c r="O45" i="1"/>
  <c r="P45" i="1"/>
  <c r="P36" i="1"/>
  <c r="O36" i="1"/>
  <c r="N36" i="1"/>
  <c r="M36" i="1"/>
  <c r="K36" i="1"/>
  <c r="P26" i="1"/>
  <c r="O26" i="1"/>
  <c r="N26" i="1"/>
  <c r="M26" i="1"/>
  <c r="L35" i="1"/>
  <c r="P34" i="1"/>
  <c r="P35" i="1"/>
  <c r="P37" i="1"/>
  <c r="P94" i="1"/>
  <c r="P132" i="1"/>
  <c r="O34" i="1"/>
  <c r="O35" i="1"/>
  <c r="O37" i="1"/>
  <c r="O94" i="1"/>
  <c r="O132" i="1"/>
  <c r="N34" i="1"/>
  <c r="N35" i="1"/>
  <c r="N37" i="1"/>
  <c r="N94" i="1"/>
  <c r="N132" i="1"/>
  <c r="M34" i="1"/>
  <c r="M35" i="1"/>
  <c r="M37" i="1"/>
  <c r="M94" i="1"/>
  <c r="M132" i="1"/>
  <c r="K34" i="1"/>
  <c r="K35" i="1"/>
  <c r="K37" i="1"/>
  <c r="L4" i="1"/>
  <c r="K335" i="1"/>
  <c r="L332" i="1"/>
  <c r="L335" i="1"/>
  <c r="L302" i="1"/>
  <c r="M302" i="1"/>
  <c r="O306" i="1"/>
  <c r="O305" i="1"/>
  <c r="O229" i="1"/>
  <c r="O230" i="1"/>
  <c r="J317" i="1"/>
  <c r="J316" i="1"/>
  <c r="J314" i="1"/>
  <c r="P306" i="1"/>
  <c r="P305" i="1"/>
  <c r="P229" i="1"/>
  <c r="P230" i="1"/>
  <c r="P279" i="1"/>
  <c r="P290" i="1"/>
  <c r="O279" i="1"/>
  <c r="O290" i="1"/>
  <c r="N279" i="1"/>
  <c r="N290" i="1"/>
  <c r="M279" i="1"/>
  <c r="M290" i="1"/>
  <c r="L279" i="1"/>
  <c r="L290" i="1"/>
  <c r="K279" i="1"/>
  <c r="K290" i="1"/>
  <c r="K276" i="1"/>
  <c r="K277" i="1"/>
  <c r="L274" i="1"/>
  <c r="L276" i="1"/>
  <c r="M276" i="1"/>
  <c r="N276" i="1"/>
  <c r="O276" i="1"/>
  <c r="K287" i="1"/>
  <c r="K288" i="1"/>
  <c r="L285" i="1"/>
  <c r="L287" i="1"/>
  <c r="M287" i="1"/>
  <c r="N287" i="1"/>
  <c r="O287" i="1"/>
  <c r="P294" i="1"/>
  <c r="P276" i="1"/>
  <c r="P287" i="1"/>
  <c r="O294" i="1"/>
  <c r="N294" i="1"/>
  <c r="M294" i="1"/>
  <c r="L294" i="1"/>
  <c r="K294" i="1"/>
  <c r="O18" i="1"/>
  <c r="L48" i="1"/>
  <c r="M48" i="1"/>
  <c r="N48" i="1"/>
  <c r="O48" i="1"/>
  <c r="P48" i="1"/>
  <c r="L49" i="1"/>
  <c r="M49" i="1"/>
  <c r="N49" i="1"/>
  <c r="O49" i="1"/>
  <c r="P49" i="1"/>
  <c r="P18" i="1"/>
  <c r="P244" i="1"/>
  <c r="P255" i="1"/>
  <c r="N18" i="1"/>
  <c r="M18" i="1"/>
  <c r="M244" i="1"/>
  <c r="M255" i="1"/>
  <c r="M189" i="1"/>
  <c r="L18" i="1"/>
  <c r="L244" i="1"/>
  <c r="L255" i="1"/>
  <c r="L37" i="1"/>
  <c r="L94" i="1"/>
  <c r="L132" i="1"/>
  <c r="K28" i="1"/>
  <c r="K237" i="1"/>
  <c r="K224" i="1"/>
  <c r="L221" i="1"/>
  <c r="L224" i="1"/>
  <c r="M221" i="1"/>
  <c r="M224" i="1"/>
  <c r="M306" i="1"/>
  <c r="M305" i="1"/>
  <c r="M229" i="1"/>
  <c r="M230" i="1"/>
  <c r="N221" i="1"/>
  <c r="N224" i="1"/>
  <c r="O221" i="1"/>
  <c r="O224" i="1"/>
  <c r="P221" i="1"/>
  <c r="P224" i="1"/>
  <c r="M4" i="1"/>
  <c r="L311" i="1"/>
  <c r="L320" i="1"/>
  <c r="K46" i="1"/>
  <c r="M142" i="1"/>
  <c r="M144" i="1"/>
  <c r="M134" i="1"/>
  <c r="P142" i="1"/>
  <c r="P144" i="1"/>
  <c r="P134" i="1"/>
  <c r="N142" i="1"/>
  <c r="N144" i="1"/>
  <c r="N134" i="1"/>
  <c r="L142" i="1"/>
  <c r="L144" i="1"/>
  <c r="L134" i="1"/>
  <c r="O142" i="1"/>
  <c r="O144" i="1"/>
  <c r="O134" i="1"/>
  <c r="K94" i="1"/>
  <c r="L50" i="1"/>
  <c r="M44" i="1"/>
  <c r="M50" i="1"/>
  <c r="K50" i="1"/>
  <c r="N28" i="1"/>
  <c r="N162" i="1"/>
  <c r="N166" i="1"/>
  <c r="O28" i="1"/>
  <c r="O162" i="1"/>
  <c r="O166" i="1"/>
  <c r="L28" i="1"/>
  <c r="L162" i="1"/>
  <c r="L166" i="1"/>
  <c r="M28" i="1"/>
  <c r="M162" i="1"/>
  <c r="M166" i="1"/>
  <c r="P28" i="1"/>
  <c r="P162" i="1"/>
  <c r="P166" i="1"/>
  <c r="K298" i="1"/>
  <c r="K200" i="1"/>
  <c r="K225" i="1"/>
  <c r="M295" i="1"/>
  <c r="L288" i="1"/>
  <c r="M285" i="1"/>
  <c r="M288" i="1"/>
  <c r="N285" i="1"/>
  <c r="N288" i="1"/>
  <c r="O285" i="1"/>
  <c r="O288" i="1"/>
  <c r="P285" i="1"/>
  <c r="P288" i="1"/>
  <c r="P295" i="1"/>
  <c r="O298" i="1"/>
  <c r="O179" i="1"/>
  <c r="L298" i="1"/>
  <c r="L179" i="1"/>
  <c r="L295" i="1"/>
  <c r="N298" i="1"/>
  <c r="N179" i="1"/>
  <c r="K295" i="1"/>
  <c r="K296" i="1"/>
  <c r="N295" i="1"/>
  <c r="M298" i="1"/>
  <c r="M179" i="1"/>
  <c r="J312" i="1"/>
  <c r="K312" i="1"/>
  <c r="O295" i="1"/>
  <c r="M157" i="1"/>
  <c r="M174" i="1"/>
  <c r="P157" i="1"/>
  <c r="P174" i="1"/>
  <c r="L293" i="1"/>
  <c r="L277" i="1"/>
  <c r="M274" i="1"/>
  <c r="M43" i="1"/>
  <c r="M219" i="1"/>
  <c r="L157" i="1"/>
  <c r="L174" i="1"/>
  <c r="M332" i="1"/>
  <c r="M335" i="1"/>
  <c r="L200" i="1"/>
  <c r="N302" i="1"/>
  <c r="M314" i="1"/>
  <c r="O244" i="1"/>
  <c r="O255" i="1"/>
  <c r="P189" i="1"/>
  <c r="P298" i="1"/>
  <c r="P179" i="1"/>
  <c r="N244" i="1"/>
  <c r="N255" i="1"/>
  <c r="K166" i="1"/>
  <c r="K244" i="1"/>
  <c r="M311" i="1"/>
  <c r="M320" i="1"/>
  <c r="N4" i="1"/>
  <c r="O4" i="1"/>
  <c r="M46" i="1"/>
  <c r="M52" i="1"/>
  <c r="M57" i="1"/>
  <c r="M168" i="1"/>
  <c r="M170" i="1"/>
  <c r="L52" i="1"/>
  <c r="L57" i="1"/>
  <c r="L168" i="1"/>
  <c r="L170" i="1"/>
  <c r="M146" i="1"/>
  <c r="M173" i="1"/>
  <c r="N146" i="1"/>
  <c r="N173" i="1"/>
  <c r="P146" i="1"/>
  <c r="P173" i="1"/>
  <c r="O146" i="1"/>
  <c r="O173" i="1"/>
  <c r="L146" i="1"/>
  <c r="L173" i="1"/>
  <c r="K52" i="1"/>
  <c r="K57" i="1"/>
  <c r="N44" i="1"/>
  <c r="N50" i="1"/>
  <c r="L296" i="1"/>
  <c r="L233" i="1"/>
  <c r="L234" i="1"/>
  <c r="L225" i="1"/>
  <c r="N157" i="1"/>
  <c r="N174" i="1"/>
  <c r="M312" i="1"/>
  <c r="L312" i="1"/>
  <c r="O157" i="1"/>
  <c r="O174" i="1"/>
  <c r="K233" i="1"/>
  <c r="K234" i="1"/>
  <c r="K202" i="1"/>
  <c r="O189" i="1"/>
  <c r="P219" i="1"/>
  <c r="O302" i="1"/>
  <c r="N314" i="1"/>
  <c r="N312" i="1"/>
  <c r="J313" i="1"/>
  <c r="N332" i="1"/>
  <c r="N335" i="1"/>
  <c r="M200" i="1"/>
  <c r="M225" i="1"/>
  <c r="N43" i="1"/>
  <c r="N189" i="1"/>
  <c r="M277" i="1"/>
  <c r="N274" i="1"/>
  <c r="M293" i="1"/>
  <c r="M296" i="1"/>
  <c r="N46" i="1"/>
  <c r="N52" i="1"/>
  <c r="N57" i="1"/>
  <c r="N168" i="1"/>
  <c r="N170" i="1"/>
  <c r="O320" i="1"/>
  <c r="O311" i="1"/>
  <c r="N311" i="1"/>
  <c r="N320" i="1"/>
  <c r="K168" i="1"/>
  <c r="K245" i="1"/>
  <c r="K256" i="1"/>
  <c r="K190" i="1"/>
  <c r="K220" i="1"/>
  <c r="K157" i="1"/>
  <c r="K174" i="1"/>
  <c r="O44" i="1"/>
  <c r="O50" i="1"/>
  <c r="L202" i="1"/>
  <c r="L208" i="1"/>
  <c r="L306" i="1"/>
  <c r="L305" i="1"/>
  <c r="L229" i="1"/>
  <c r="L230" i="1"/>
  <c r="N293" i="1"/>
  <c r="N296" i="1"/>
  <c r="N277" i="1"/>
  <c r="O274" i="1"/>
  <c r="O43" i="1"/>
  <c r="M233" i="1"/>
  <c r="M234" i="1"/>
  <c r="M202" i="1"/>
  <c r="L313" i="1"/>
  <c r="M313" i="1"/>
  <c r="L245" i="1"/>
  <c r="L177" i="1"/>
  <c r="N200" i="1"/>
  <c r="N225" i="1"/>
  <c r="O332" i="1"/>
  <c r="O335" i="1"/>
  <c r="N313" i="1"/>
  <c r="O314" i="1"/>
  <c r="O312" i="1"/>
  <c r="O313" i="1"/>
  <c r="O316" i="1"/>
  <c r="P302" i="1"/>
  <c r="N219" i="1"/>
  <c r="O219" i="1"/>
  <c r="L219" i="1"/>
  <c r="P4" i="1"/>
  <c r="L175" i="1"/>
  <c r="O46" i="1"/>
  <c r="O52" i="1"/>
  <c r="O57" i="1"/>
  <c r="O168" i="1"/>
  <c r="O170" i="1"/>
  <c r="P320" i="1"/>
  <c r="P311" i="1"/>
  <c r="K222" i="1"/>
  <c r="K261" i="1"/>
  <c r="K170" i="1"/>
  <c r="P44" i="1"/>
  <c r="P50" i="1"/>
  <c r="L257" i="1"/>
  <c r="L256" i="1"/>
  <c r="P43" i="1"/>
  <c r="P316" i="1"/>
  <c r="P312" i="1"/>
  <c r="P314" i="1"/>
  <c r="P317" i="1"/>
  <c r="P313" i="1"/>
  <c r="J315" i="1"/>
  <c r="N306" i="1"/>
  <c r="N305" i="1"/>
  <c r="N229" i="1"/>
  <c r="N230" i="1"/>
  <c r="P332" i="1"/>
  <c r="P335" i="1"/>
  <c r="P200" i="1"/>
  <c r="O200" i="1"/>
  <c r="O225" i="1"/>
  <c r="O277" i="1"/>
  <c r="P274" i="1"/>
  <c r="O293" i="1"/>
  <c r="O296" i="1"/>
  <c r="J326" i="1"/>
  <c r="P326" i="1"/>
  <c r="M245" i="1"/>
  <c r="N202" i="1"/>
  <c r="N233" i="1"/>
  <c r="N234" i="1"/>
  <c r="P46" i="1"/>
  <c r="P52" i="1"/>
  <c r="P57" i="1"/>
  <c r="P168" i="1"/>
  <c r="P170" i="1"/>
  <c r="K223" i="1"/>
  <c r="K262" i="1"/>
  <c r="K263" i="1"/>
  <c r="K265" i="1"/>
  <c r="M198" i="1"/>
  <c r="M223" i="1"/>
  <c r="J323" i="1"/>
  <c r="O323" i="1"/>
  <c r="P293" i="1"/>
  <c r="P296" i="1"/>
  <c r="P277" i="1"/>
  <c r="P225" i="1"/>
  <c r="O202" i="1"/>
  <c r="O233" i="1"/>
  <c r="O234" i="1"/>
  <c r="N245" i="1"/>
  <c r="N315" i="1"/>
  <c r="O315" i="1"/>
  <c r="M257" i="1"/>
  <c r="M256" i="1"/>
  <c r="J322" i="1"/>
  <c r="J324" i="1"/>
  <c r="N324" i="1"/>
  <c r="J325" i="1"/>
  <c r="J321" i="1"/>
  <c r="P315" i="1"/>
  <c r="L261" i="1"/>
  <c r="L262" i="1"/>
  <c r="N321" i="1"/>
  <c r="O321" i="1"/>
  <c r="P321" i="1"/>
  <c r="P325" i="1"/>
  <c r="O325" i="1"/>
  <c r="M177" i="1"/>
  <c r="M175" i="1"/>
  <c r="K201" i="1"/>
  <c r="K203" i="1"/>
  <c r="K175" i="1"/>
  <c r="K177" i="1"/>
  <c r="L223" i="1"/>
  <c r="N323" i="1"/>
  <c r="M323" i="1"/>
  <c r="P323" i="1"/>
  <c r="N256" i="1"/>
  <c r="N257" i="1"/>
  <c r="K321" i="1"/>
  <c r="K307" i="1"/>
  <c r="M321" i="1"/>
  <c r="L321" i="1"/>
  <c r="O245" i="1"/>
  <c r="L222" i="1"/>
  <c r="L201" i="1"/>
  <c r="L203" i="1"/>
  <c r="L263" i="1"/>
  <c r="O324" i="1"/>
  <c r="P324" i="1"/>
  <c r="M190" i="1"/>
  <c r="M220" i="1"/>
  <c r="M261" i="1"/>
  <c r="O322" i="1"/>
  <c r="M322" i="1"/>
  <c r="L322" i="1"/>
  <c r="P322" i="1"/>
  <c r="N322" i="1"/>
  <c r="L220" i="1"/>
  <c r="M197" i="1"/>
  <c r="M262" i="1"/>
  <c r="P202" i="1"/>
  <c r="P233" i="1"/>
  <c r="P234" i="1"/>
  <c r="L307" i="1"/>
  <c r="L180" i="1"/>
  <c r="P307" i="1"/>
  <c r="P180" i="1"/>
  <c r="P217" i="1"/>
  <c r="O307" i="1"/>
  <c r="O180" i="1"/>
  <c r="O217" i="1"/>
  <c r="N307" i="1"/>
  <c r="N180" i="1"/>
  <c r="N217" i="1"/>
  <c r="M307" i="1"/>
  <c r="M180" i="1"/>
  <c r="M217" i="1"/>
  <c r="P245" i="1"/>
  <c r="P257" i="1"/>
  <c r="N177" i="1"/>
  <c r="P177" i="1"/>
  <c r="M263" i="1"/>
  <c r="M265" i="1"/>
  <c r="L265" i="1"/>
  <c r="O256" i="1"/>
  <c r="O257" i="1"/>
  <c r="N190" i="1"/>
  <c r="N261" i="1"/>
  <c r="K180" i="1"/>
  <c r="K217" i="1"/>
  <c r="K308" i="1"/>
  <c r="M201" i="1"/>
  <c r="M203" i="1"/>
  <c r="M222" i="1"/>
  <c r="N262" i="1"/>
  <c r="N197" i="1"/>
  <c r="L217" i="1"/>
  <c r="L182" i="1"/>
  <c r="M182" i="1"/>
  <c r="M216" i="1"/>
  <c r="P182" i="1"/>
  <c r="N182" i="1"/>
  <c r="N216" i="1"/>
  <c r="K182" i="1"/>
  <c r="K216" i="1"/>
  <c r="P256" i="1"/>
  <c r="P190" i="1"/>
  <c r="N175" i="1"/>
  <c r="N198" i="1"/>
  <c r="N223" i="1"/>
  <c r="O198" i="1"/>
  <c r="O175" i="1"/>
  <c r="O177" i="1"/>
  <c r="P198" i="1"/>
  <c r="P175" i="1"/>
  <c r="P216" i="1"/>
  <c r="P262" i="1"/>
  <c r="P197" i="1"/>
  <c r="O190" i="1"/>
  <c r="O261" i="1"/>
  <c r="L216" i="1"/>
  <c r="N222" i="1"/>
  <c r="N220" i="1"/>
  <c r="O262" i="1"/>
  <c r="O197" i="1"/>
  <c r="L304" i="1"/>
  <c r="L308" i="1"/>
  <c r="K193" i="1"/>
  <c r="K208" i="1"/>
  <c r="N263" i="1"/>
  <c r="O182" i="1"/>
  <c r="O216" i="1"/>
  <c r="P223" i="1"/>
  <c r="P261" i="1"/>
  <c r="P263" i="1"/>
  <c r="N201" i="1"/>
  <c r="N203" i="1"/>
  <c r="O223" i="1"/>
  <c r="O263" i="1"/>
  <c r="O265" i="1"/>
  <c r="N265" i="1"/>
  <c r="P220" i="1"/>
  <c r="P201" i="1"/>
  <c r="P203" i="1"/>
  <c r="P222" i="1"/>
  <c r="M304" i="1"/>
  <c r="M308" i="1"/>
  <c r="O201" i="1"/>
  <c r="O203" i="1"/>
  <c r="O222" i="1"/>
  <c r="O220" i="1"/>
  <c r="K192" i="1"/>
  <c r="K194" i="1"/>
  <c r="P265" i="1"/>
  <c r="N304" i="1"/>
  <c r="N308" i="1"/>
  <c r="M193" i="1"/>
  <c r="M208" i="1"/>
  <c r="L226" i="1"/>
  <c r="L237" i="1"/>
  <c r="L238" i="1"/>
  <c r="O304" i="1"/>
  <c r="O308" i="1"/>
  <c r="N193" i="1"/>
  <c r="N208" i="1"/>
  <c r="K206" i="1"/>
  <c r="K209" i="1"/>
  <c r="K211" i="1"/>
  <c r="K3" i="1"/>
  <c r="M226" i="1"/>
  <c r="N226" i="1"/>
  <c r="M237" i="1"/>
  <c r="M238" i="1"/>
  <c r="L188" i="1"/>
  <c r="L192" i="1"/>
  <c r="L194" i="1"/>
  <c r="O193" i="1"/>
  <c r="O208" i="1"/>
  <c r="P304" i="1"/>
  <c r="P308" i="1"/>
  <c r="P193" i="1"/>
  <c r="P208" i="1"/>
  <c r="L206" i="1"/>
  <c r="L209" i="1"/>
  <c r="L211" i="1"/>
  <c r="L3" i="1"/>
  <c r="O226" i="1"/>
  <c r="N237" i="1"/>
  <c r="N238" i="1"/>
  <c r="M188" i="1"/>
  <c r="M192" i="1"/>
  <c r="M194" i="1"/>
  <c r="P226" i="1"/>
  <c r="O237" i="1"/>
  <c r="O238" i="1"/>
  <c r="N188" i="1"/>
  <c r="N192" i="1"/>
  <c r="N194" i="1"/>
  <c r="M206" i="1"/>
  <c r="M209" i="1"/>
  <c r="M211" i="1"/>
  <c r="M3" i="1"/>
  <c r="N206" i="1"/>
  <c r="N209" i="1"/>
  <c r="N211" i="1"/>
  <c r="N3" i="1"/>
  <c r="P237" i="1"/>
  <c r="P238" i="1"/>
  <c r="P188" i="1"/>
  <c r="P192" i="1"/>
  <c r="P194" i="1"/>
  <c r="O188" i="1"/>
  <c r="O192" i="1"/>
  <c r="O194" i="1"/>
  <c r="O206" i="1"/>
  <c r="O209" i="1"/>
  <c r="O211" i="1"/>
  <c r="O3" i="1"/>
  <c r="P206" i="1"/>
  <c r="P209" i="1"/>
  <c r="P211" i="1"/>
  <c r="P3" i="1"/>
</calcChain>
</file>

<file path=xl/sharedStrings.xml><?xml version="1.0" encoding="utf-8"?>
<sst xmlns="http://schemas.openxmlformats.org/spreadsheetml/2006/main" count="290" uniqueCount="190">
  <si>
    <t xml:space="preserve"> </t>
  </si>
  <si>
    <t>Revenue Schedule</t>
  </si>
  <si>
    <t>Instructional Days in Period</t>
  </si>
  <si>
    <t>Lunch</t>
  </si>
  <si>
    <t>Meals/Day</t>
  </si>
  <si>
    <t>Breakfast</t>
  </si>
  <si>
    <t>$/Meal</t>
  </si>
  <si>
    <t>Revenue</t>
  </si>
  <si>
    <t xml:space="preserve">Sales Volume </t>
  </si>
  <si>
    <t>Inflation</t>
  </si>
  <si>
    <t>Variable Costs</t>
  </si>
  <si>
    <t>Food</t>
  </si>
  <si>
    <t>Packaging</t>
  </si>
  <si>
    <t>Subtotal</t>
  </si>
  <si>
    <t>Kitchen Space</t>
  </si>
  <si>
    <t>$/Hour</t>
  </si>
  <si>
    <t>Hours per Day</t>
  </si>
  <si>
    <t>Hour/Day</t>
  </si>
  <si>
    <t>$/Year</t>
  </si>
  <si>
    <t>Vehicle</t>
  </si>
  <si>
    <t>Income Statement</t>
  </si>
  <si>
    <t>Grants</t>
  </si>
  <si>
    <t>Total Revenue</t>
  </si>
  <si>
    <t>Gross Income from Operations</t>
  </si>
  <si>
    <t>Labour Costs</t>
  </si>
  <si>
    <t>Total Expenses</t>
  </si>
  <si>
    <t>Income from Operations</t>
  </si>
  <si>
    <t xml:space="preserve">Net Income </t>
  </si>
  <si>
    <t>Balance Sheet</t>
  </si>
  <si>
    <t>Assets</t>
  </si>
  <si>
    <t>Cash</t>
  </si>
  <si>
    <t>Accounts receivable</t>
  </si>
  <si>
    <t>Inventory</t>
  </si>
  <si>
    <t>Other</t>
  </si>
  <si>
    <t>Total Current Assets</t>
  </si>
  <si>
    <t>Capital Assets (from schedule)</t>
  </si>
  <si>
    <t>Total Assets</t>
  </si>
  <si>
    <t>Liabilties</t>
  </si>
  <si>
    <t>Accounts payable and accrued liabilities</t>
  </si>
  <si>
    <t>Taxes payable</t>
  </si>
  <si>
    <t>Other Current Liabilites</t>
  </si>
  <si>
    <t>Deferred revenue (from schedule)</t>
  </si>
  <si>
    <t>Total Current Liabilties</t>
  </si>
  <si>
    <t>Long term debt (from schedule)</t>
  </si>
  <si>
    <t>Total Liabilties</t>
  </si>
  <si>
    <t>Equity</t>
  </si>
  <si>
    <t>Unrestricted</t>
  </si>
  <si>
    <t>Invested in capital assets</t>
  </si>
  <si>
    <t>Total Equity</t>
  </si>
  <si>
    <t>Check</t>
  </si>
  <si>
    <t>Cash Flow Statement</t>
  </si>
  <si>
    <t>Cash flows from Operating Activities:</t>
  </si>
  <si>
    <t>Net Income</t>
  </si>
  <si>
    <t>add back: depreciation</t>
  </si>
  <si>
    <t>Changes in Operating Assets and Liabilities:</t>
  </si>
  <si>
    <t>Accounts receivables</t>
  </si>
  <si>
    <t>Inventories</t>
  </si>
  <si>
    <t>Other Current Liabilties</t>
  </si>
  <si>
    <t>Deferrred revenue</t>
  </si>
  <si>
    <t>Net Cash Provided by Operating Activities</t>
  </si>
  <si>
    <t>Investing Activities:</t>
  </si>
  <si>
    <t>Acquisitions of capital assets</t>
  </si>
  <si>
    <t>Cash Flows from Investing Activities</t>
  </si>
  <si>
    <t>Financing Activities:</t>
  </si>
  <si>
    <t>Increase/(Decrease) in long term debt</t>
  </si>
  <si>
    <t>Cash Flows from Financing Activities</t>
  </si>
  <si>
    <t>Increase/(Decrease) in Cash and Equivalents</t>
  </si>
  <si>
    <t>Cash and Equivalents, Beginning of the Year</t>
  </si>
  <si>
    <t>Cash and Equivalents, End of the Year</t>
  </si>
  <si>
    <t>Working Capital</t>
  </si>
  <si>
    <t>Days in Period</t>
  </si>
  <si>
    <t>Variable Cost of Sales</t>
  </si>
  <si>
    <t>Accounts Receivable</t>
  </si>
  <si>
    <t>(Days)</t>
  </si>
  <si>
    <t>Accounts Payable</t>
  </si>
  <si>
    <t>Total Amounts</t>
  </si>
  <si>
    <t>Net Working Capital</t>
  </si>
  <si>
    <t>Current Assets</t>
  </si>
  <si>
    <t>Current Liabilities</t>
  </si>
  <si>
    <t>Cash from Working Capital Items</t>
  </si>
  <si>
    <t>Long Term Debt</t>
  </si>
  <si>
    <t>Interest rate:</t>
  </si>
  <si>
    <t>Amortization Period</t>
  </si>
  <si>
    <t>yrs</t>
  </si>
  <si>
    <t>Period</t>
  </si>
  <si>
    <t>Loan 1:</t>
  </si>
  <si>
    <t>Opening Balance</t>
  </si>
  <si>
    <t>add: additions</t>
  </si>
  <si>
    <t>less: principal repayments</t>
  </si>
  <si>
    <t>Closing Balance</t>
  </si>
  <si>
    <t>Interest payments</t>
  </si>
  <si>
    <t>Loan 2:</t>
  </si>
  <si>
    <t>Total of all Loans</t>
  </si>
  <si>
    <t>Combined interest</t>
  </si>
  <si>
    <t>Capital Assets</t>
  </si>
  <si>
    <t>Beginning Balance</t>
  </si>
  <si>
    <t>Capital Expenditures (Vehicle)</t>
  </si>
  <si>
    <t>Less Depreciation</t>
  </si>
  <si>
    <t>Useful Life</t>
  </si>
  <si>
    <t>Year</t>
  </si>
  <si>
    <t>Per Year</t>
  </si>
  <si>
    <t xml:space="preserve">Deferred Revenue </t>
  </si>
  <si>
    <t>Additions</t>
  </si>
  <si>
    <t xml:space="preserve">Less: Amounts brought into income </t>
  </si>
  <si>
    <t xml:space="preserve">Closing Balance </t>
  </si>
  <si>
    <t>Worksafe %</t>
  </si>
  <si>
    <t>Benefits %</t>
  </si>
  <si>
    <t>Driver</t>
  </si>
  <si>
    <t>Salary?</t>
  </si>
  <si>
    <t>Hourly Wage</t>
  </si>
  <si>
    <t>ED</t>
  </si>
  <si>
    <t>Project Chef</t>
  </si>
  <si>
    <t>Meal Pricing</t>
  </si>
  <si>
    <t>Snack Volume</t>
  </si>
  <si>
    <t>Snack Pricing</t>
  </si>
  <si>
    <t>Servings</t>
  </si>
  <si>
    <t>Servings/Day</t>
  </si>
  <si>
    <t>Snack</t>
  </si>
  <si>
    <t>$/Serving</t>
  </si>
  <si>
    <t>Snacks</t>
  </si>
  <si>
    <t># of Kitchens</t>
  </si>
  <si>
    <t>Storage</t>
  </si>
  <si>
    <t># of pallet bays</t>
  </si>
  <si>
    <t>Monthly Rate</t>
  </si>
  <si>
    <t>$/Month</t>
  </si>
  <si>
    <t># of bays</t>
  </si>
  <si>
    <t># of cold storage pallets</t>
  </si>
  <si>
    <t># of pallets</t>
  </si>
  <si>
    <t># of Instructional Days</t>
  </si>
  <si>
    <t>Extra Kitchen Days</t>
  </si>
  <si>
    <t>Average Hourly Rate</t>
  </si>
  <si>
    <t>Advertising &amp; Promotion</t>
  </si>
  <si>
    <t>Vehicle Expenses</t>
  </si>
  <si>
    <t>All Other Costs</t>
  </si>
  <si>
    <t>Restricted</t>
  </si>
  <si>
    <t>Total Contract Revenue</t>
  </si>
  <si>
    <t>Small wares</t>
  </si>
  <si>
    <t>Garden supplies</t>
  </si>
  <si>
    <t>$/year</t>
  </si>
  <si>
    <t>Total Food and Packaging Costs</t>
  </si>
  <si>
    <t>Total Variable Costs</t>
  </si>
  <si>
    <t># of Days</t>
  </si>
  <si>
    <t>Subtotal Kitchen Days</t>
  </si>
  <si>
    <t>Occupancy Costs</t>
  </si>
  <si>
    <t>Food Costs</t>
  </si>
  <si>
    <t>Packaging Costs</t>
  </si>
  <si>
    <t>Total Occupancy Costs</t>
  </si>
  <si>
    <t>All Other  Costs</t>
  </si>
  <si>
    <t>Total All Other Costs</t>
  </si>
  <si>
    <t>All other costs (incl. subcontractors)</t>
  </si>
  <si>
    <t>Total Meal Revenue</t>
  </si>
  <si>
    <t>Total Snack Revenue</t>
  </si>
  <si>
    <t>Kitchen Space Costs</t>
  </si>
  <si>
    <t>Storage Costs</t>
  </si>
  <si>
    <t>Office Space Costs</t>
  </si>
  <si>
    <t>Contract Revenue</t>
  </si>
  <si>
    <t>Less: Depreciation and Amortization</t>
  </si>
  <si>
    <t>Less: Interest from Long Term Debt</t>
  </si>
  <si>
    <t>Load</t>
  </si>
  <si>
    <t>CPP %</t>
  </si>
  <si>
    <t>CPP Maximum</t>
  </si>
  <si>
    <t>EI %</t>
  </si>
  <si>
    <t>EI Maximum</t>
  </si>
  <si>
    <t>Worksafe Maximum</t>
  </si>
  <si>
    <t>Vacation %</t>
  </si>
  <si>
    <t>Sick Time %</t>
  </si>
  <si>
    <t>%</t>
  </si>
  <si>
    <t>$</t>
  </si>
  <si>
    <t>days/year</t>
  </si>
  <si>
    <t>Staffing  Complement</t>
  </si>
  <si>
    <t>Garden Coordinator</t>
  </si>
  <si>
    <t>Y</t>
  </si>
  <si>
    <t>N</t>
  </si>
  <si>
    <t>Hrs/Day</t>
  </si>
  <si>
    <t>Administrative Assistant</t>
  </si>
  <si>
    <t>Total Staff Complement</t>
  </si>
  <si>
    <t>FTEs</t>
  </si>
  <si>
    <t>Total Wages &amp; Salaries</t>
  </si>
  <si>
    <t>Work Days</t>
  </si>
  <si>
    <t>Wages &amp; Salaries</t>
  </si>
  <si>
    <t>Total Load</t>
  </si>
  <si>
    <t>Total Labour Costs</t>
  </si>
  <si>
    <t>Flourish! School Food Society</t>
  </si>
  <si>
    <t>Equipment</t>
  </si>
  <si>
    <t>Capital Expenditures (Equipment)</t>
  </si>
  <si>
    <t>Planned Capex</t>
  </si>
  <si>
    <t>Meal Volume</t>
  </si>
  <si>
    <t>Operations Manager</t>
  </si>
  <si>
    <t>Executive Chef</t>
  </si>
  <si>
    <t>Donations and Sponsorships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</si>
</sst>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5" formatCode="&quot;$&quot;#,##0_);\(&quot;$&quot;#,##0\)"/>
    <numFmt numFmtId="7" formatCode="&quot;$&quot;#,##0.00_);\(&quot;$&quot;#,##0.00\)"/>
    <numFmt numFmtId="8" formatCode="&quot;$&quot;#,##0.00_);[Red]\(&quot;$&quot;#,##0.00\)"/>
    <numFmt numFmtId="164" formatCode="_-&quot;$&quot;* #,##0.00_-;\-&quot;$&quot;* #,##0.00_-;_-&quot;$&quot;* &quot;-&quot;??_-;_-@_-"/>
    <numFmt numFmtId="165" formatCode="0&quot;A&quot;"/>
    <numFmt numFmtId="166" formatCode="0&quot;F&quot;"/>
    <numFmt numFmtId="167" formatCode="#,##0_);\(#,##0\);\-"/>
    <numFmt numFmtId="168" formatCode="0&quot;E&quot;"/>
    <numFmt numFmtId="169" formatCode="0.0%"/>
    <numFmt numFmtId="170" formatCode="#,##0_);[Red]\(#,##0\);\-"/>
    <numFmt numFmtId="171" formatCode="[$-F800]dddd\,\ mmmm\ dd\,\ yyyy"/>
    <numFmt numFmtId="172" formatCode="&quot;$&quot;#,##0.00"/>
    <numFmt numFmtId="173" formatCode="_-&quot;$&quot;* #,##0_-;\-&quot;$&quot;* #,##0_-;_-&quot;$&quot;* &quot;-&quot;??_-;_-@_-"/>
    <numFmt numFmtId="174" formatCode="0.0"/>
    <numFmt numFmtId="175" formatCode="&quot;$&quot;#,##0"/>
  </numFmts>
  <fonts count="21" x14ac:knownFonts="1">
    <font>
      <sz val="11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1"/>
      <color theme="0"/>
      <name val="Aptos"/>
      <family val="2"/>
    </font>
    <font>
      <sz val="11"/>
      <color theme="0"/>
      <name val="Aptos"/>
      <family val="2"/>
    </font>
    <font>
      <i/>
      <sz val="11"/>
      <color theme="0"/>
      <name val="Aptos"/>
      <family val="2"/>
    </font>
    <font>
      <sz val="11"/>
      <color rgb="FF000000"/>
      <name val="Aptos"/>
      <family val="2"/>
    </font>
    <font>
      <b/>
      <sz val="11"/>
      <color rgb="FF000000"/>
      <name val="Aptos"/>
      <family val="2"/>
    </font>
    <font>
      <sz val="11"/>
      <color rgb="FF0000FF"/>
      <name val="Aptos"/>
      <family val="2"/>
    </font>
    <font>
      <b/>
      <sz val="11"/>
      <color rgb="FF0000FF"/>
      <name val="Aptos"/>
      <family val="2"/>
    </font>
    <font>
      <i/>
      <sz val="11"/>
      <color theme="1"/>
      <name val="Aptos"/>
      <family val="2"/>
    </font>
    <font>
      <i/>
      <sz val="11"/>
      <color rgb="FF000000"/>
      <name val="Aptos"/>
      <family val="2"/>
    </font>
    <font>
      <strike/>
      <sz val="11"/>
      <color rgb="FF000000"/>
      <name val="Aptos"/>
      <family val="2"/>
    </font>
    <font>
      <sz val="11"/>
      <color theme="1"/>
      <name val="Calibri"/>
      <scheme val="minor"/>
    </font>
    <font>
      <u/>
      <sz val="11"/>
      <color theme="1"/>
      <name val="Aptos"/>
      <family val="2"/>
    </font>
    <font>
      <u/>
      <sz val="11"/>
      <color rgb="FF000000"/>
      <name val="Aptos"/>
      <family val="2"/>
    </font>
    <font>
      <sz val="11"/>
      <color rgb="FF003C3E"/>
      <name val="Aptos"/>
      <family val="2"/>
    </font>
    <font>
      <b/>
      <sz val="11"/>
      <name val="Aptos"/>
      <family val="2"/>
    </font>
    <font>
      <sz val="1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rgb="FFECECEC"/>
        <bgColor rgb="FFECECEC"/>
      </patternFill>
    </fill>
    <fill>
      <patternFill patternType="solid">
        <fgColor rgb="FFE7E6E6"/>
        <bgColor rgb="FFE7E6E6"/>
      </patternFill>
    </fill>
    <fill>
      <patternFill patternType="solid">
        <fgColor theme="0"/>
        <bgColor theme="0"/>
      </patternFill>
    </fill>
    <fill>
      <patternFill patternType="solid">
        <fgColor rgb="FF003C3E"/>
        <bgColor rgb="FF0070C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E7E6E6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0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37" fontId="5" fillId="0" borderId="0" xfId="0" applyNumberFormat="1" applyFont="1" applyAlignment="1">
      <alignment vertical="center"/>
    </xf>
    <xf numFmtId="37" fontId="6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right"/>
    </xf>
    <xf numFmtId="168" fontId="5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/>
    <xf numFmtId="167" fontId="3" fillId="0" borderId="0" xfId="0" applyNumberFormat="1" applyFont="1" applyAlignment="1">
      <alignment horizontal="right"/>
    </xf>
    <xf numFmtId="7" fontId="8" fillId="0" borderId="0" xfId="0" applyNumberFormat="1" applyFont="1"/>
    <xf numFmtId="0" fontId="9" fillId="0" borderId="0" xfId="0" applyFont="1"/>
    <xf numFmtId="0" fontId="12" fillId="0" borderId="0" xfId="0" applyFont="1" applyAlignment="1">
      <alignment horizontal="center"/>
    </xf>
    <xf numFmtId="37" fontId="10" fillId="3" borderId="1" xfId="0" applyNumberFormat="1" applyFont="1" applyFill="1" applyBorder="1" applyAlignment="1">
      <alignment horizontal="right"/>
    </xf>
    <xf numFmtId="37" fontId="3" fillId="0" borderId="5" xfId="0" applyNumberFormat="1" applyFont="1" applyBorder="1" applyAlignment="1">
      <alignment horizontal="right"/>
    </xf>
    <xf numFmtId="37" fontId="3" fillId="0" borderId="0" xfId="0" applyNumberFormat="1" applyFont="1" applyAlignment="1">
      <alignment horizontal="right"/>
    </xf>
    <xf numFmtId="37" fontId="4" fillId="0" borderId="5" xfId="0" applyNumberFormat="1" applyFont="1" applyBorder="1" applyAlignment="1">
      <alignment horizontal="right"/>
    </xf>
    <xf numFmtId="37" fontId="10" fillId="0" borderId="0" xfId="0" applyNumberFormat="1" applyFont="1" applyAlignment="1">
      <alignment horizontal="right"/>
    </xf>
    <xf numFmtId="3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7" fontId="10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3" fillId="4" borderId="1" xfId="0" applyFont="1" applyFill="1" applyBorder="1"/>
    <xf numFmtId="0" fontId="12" fillId="0" borderId="0" xfId="0" applyFont="1"/>
    <xf numFmtId="0" fontId="9" fillId="4" borderId="1" xfId="0" applyFont="1" applyFill="1" applyBorder="1"/>
    <xf numFmtId="0" fontId="8" fillId="4" borderId="1" xfId="0" applyFont="1" applyFill="1" applyBorder="1"/>
    <xf numFmtId="7" fontId="3" fillId="0" borderId="0" xfId="0" applyNumberFormat="1" applyFont="1"/>
    <xf numFmtId="0" fontId="3" fillId="0" borderId="5" xfId="0" applyFont="1" applyBorder="1"/>
    <xf numFmtId="37" fontId="11" fillId="0" borderId="0" xfId="0" applyNumberFormat="1" applyFont="1" applyAlignment="1">
      <alignment vertical="center"/>
    </xf>
    <xf numFmtId="165" fontId="5" fillId="0" borderId="2" xfId="0" applyNumberFormat="1" applyFont="1" applyBorder="1" applyAlignment="1">
      <alignment horizontal="right"/>
    </xf>
    <xf numFmtId="167" fontId="8" fillId="0" borderId="0" xfId="0" applyNumberFormat="1" applyFont="1" applyAlignment="1">
      <alignment horizontal="right"/>
    </xf>
    <xf numFmtId="37" fontId="8" fillId="0" borderId="0" xfId="0" applyNumberFormat="1" applyFont="1" applyAlignment="1">
      <alignment horizontal="right" vertical="center"/>
    </xf>
    <xf numFmtId="167" fontId="10" fillId="2" borderId="1" xfId="0" applyNumberFormat="1" applyFont="1" applyFill="1" applyBorder="1" applyAlignment="1">
      <alignment horizontal="right"/>
    </xf>
    <xf numFmtId="167" fontId="10" fillId="3" borderId="1" xfId="0" applyNumberFormat="1" applyFont="1" applyFill="1" applyBorder="1" applyAlignment="1">
      <alignment horizontal="right"/>
    </xf>
    <xf numFmtId="167" fontId="10" fillId="0" borderId="0" xfId="0" applyNumberFormat="1" applyFont="1" applyAlignment="1">
      <alignment horizontal="right"/>
    </xf>
    <xf numFmtId="167" fontId="3" fillId="0" borderId="0" xfId="0" applyNumberFormat="1" applyFont="1"/>
    <xf numFmtId="7" fontId="10" fillId="2" borderId="1" xfId="0" applyNumberFormat="1" applyFont="1" applyFill="1" applyBorder="1" applyAlignment="1">
      <alignment horizontal="right"/>
    </xf>
    <xf numFmtId="5" fontId="3" fillId="0" borderId="0" xfId="0" applyNumberFormat="1" applyFont="1" applyAlignment="1">
      <alignment horizontal="center"/>
    </xf>
    <xf numFmtId="16" fontId="4" fillId="0" borderId="0" xfId="0" applyNumberFormat="1" applyFont="1" applyAlignment="1">
      <alignment horizontal="right"/>
    </xf>
    <xf numFmtId="168" fontId="9" fillId="0" borderId="0" xfId="0" applyNumberFormat="1" applyFont="1" applyAlignment="1">
      <alignment horizontal="right"/>
    </xf>
    <xf numFmtId="37" fontId="3" fillId="0" borderId="4" xfId="0" applyNumberFormat="1" applyFont="1" applyBorder="1" applyAlignment="1">
      <alignment horizontal="right"/>
    </xf>
    <xf numFmtId="37" fontId="3" fillId="0" borderId="6" xfId="0" applyNumberFormat="1" applyFont="1" applyBorder="1" applyAlignment="1">
      <alignment horizontal="right"/>
    </xf>
    <xf numFmtId="37" fontId="3" fillId="0" borderId="7" xfId="0" applyNumberFormat="1" applyFont="1" applyBorder="1" applyAlignment="1">
      <alignment horizontal="right"/>
    </xf>
    <xf numFmtId="37" fontId="3" fillId="0" borderId="8" xfId="0" applyNumberFormat="1" applyFont="1" applyBorder="1" applyAlignment="1">
      <alignment horizontal="right"/>
    </xf>
    <xf numFmtId="167" fontId="3" fillId="0" borderId="10" xfId="0" applyNumberFormat="1" applyFont="1" applyBorder="1" applyAlignment="1">
      <alignment horizontal="right"/>
    </xf>
    <xf numFmtId="167" fontId="3" fillId="0" borderId="1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169" fontId="3" fillId="0" borderId="12" xfId="0" applyNumberFormat="1" applyFont="1" applyBorder="1"/>
    <xf numFmtId="169" fontId="3" fillId="0" borderId="13" xfId="0" applyNumberFormat="1" applyFont="1" applyBorder="1"/>
    <xf numFmtId="169" fontId="3" fillId="0" borderId="14" xfId="0" applyNumberFormat="1" applyFont="1" applyBorder="1"/>
    <xf numFmtId="9" fontId="10" fillId="0" borderId="0" xfId="0" applyNumberFormat="1" applyFont="1"/>
    <xf numFmtId="7" fontId="10" fillId="3" borderId="1" xfId="0" applyNumberFormat="1" applyFont="1" applyFill="1" applyBorder="1" applyAlignment="1">
      <alignment horizontal="right"/>
    </xf>
    <xf numFmtId="7" fontId="3" fillId="0" borderId="0" xfId="0" applyNumberFormat="1" applyFont="1" applyAlignment="1">
      <alignment horizontal="right"/>
    </xf>
    <xf numFmtId="5" fontId="4" fillId="0" borderId="5" xfId="0" applyNumberFormat="1" applyFont="1" applyBorder="1" applyAlignment="1">
      <alignment horizontal="right"/>
    </xf>
    <xf numFmtId="5" fontId="4" fillId="0" borderId="0" xfId="0" applyNumberFormat="1" applyFont="1" applyAlignment="1">
      <alignment horizontal="right"/>
    </xf>
    <xf numFmtId="170" fontId="4" fillId="0" borderId="0" xfId="0" applyNumberFormat="1" applyFont="1"/>
    <xf numFmtId="170" fontId="4" fillId="0" borderId="0" xfId="0" applyNumberFormat="1" applyFont="1" applyAlignment="1">
      <alignment horizontal="right"/>
    </xf>
    <xf numFmtId="37" fontId="8" fillId="0" borderId="0" xfId="0" applyNumberFormat="1" applyFont="1" applyAlignment="1">
      <alignment horizontal="right"/>
    </xf>
    <xf numFmtId="5" fontId="8" fillId="0" borderId="0" xfId="0" applyNumberFormat="1" applyFont="1" applyAlignment="1">
      <alignment horizontal="right"/>
    </xf>
    <xf numFmtId="5" fontId="10" fillId="0" borderId="0" xfId="0" applyNumberFormat="1" applyFont="1" applyAlignment="1">
      <alignment horizontal="right"/>
    </xf>
    <xf numFmtId="5" fontId="9" fillId="0" borderId="0" xfId="0" applyNumberFormat="1" applyFont="1" applyAlignment="1">
      <alignment horizontal="right"/>
    </xf>
    <xf numFmtId="5" fontId="9" fillId="0" borderId="5" xfId="0" applyNumberFormat="1" applyFont="1" applyBorder="1" applyAlignment="1">
      <alignment horizontal="right"/>
    </xf>
    <xf numFmtId="5" fontId="9" fillId="0" borderId="15" xfId="0" applyNumberFormat="1" applyFont="1" applyBorder="1" applyAlignment="1">
      <alignment horizontal="right"/>
    </xf>
    <xf numFmtId="5" fontId="3" fillId="0" borderId="0" xfId="0" applyNumberFormat="1" applyFont="1" applyAlignment="1">
      <alignment horizontal="right"/>
    </xf>
    <xf numFmtId="0" fontId="14" fillId="0" borderId="0" xfId="0" applyFont="1" applyAlignment="1">
      <alignment horizontal="left"/>
    </xf>
    <xf numFmtId="170" fontId="3" fillId="0" borderId="0" xfId="0" applyNumberFormat="1" applyFont="1" applyAlignment="1">
      <alignment horizontal="right"/>
    </xf>
    <xf numFmtId="170" fontId="3" fillId="0" borderId="0" xfId="0" applyNumberFormat="1" applyFont="1"/>
    <xf numFmtId="0" fontId="8" fillId="0" borderId="0" xfId="0" applyFont="1" applyAlignment="1">
      <alignment horizontal="right"/>
    </xf>
    <xf numFmtId="0" fontId="10" fillId="0" borderId="0" xfId="0" applyFont="1"/>
    <xf numFmtId="167" fontId="8" fillId="0" borderId="0" xfId="0" applyNumberFormat="1" applyFont="1"/>
    <xf numFmtId="167" fontId="9" fillId="0" borderId="0" xfId="0" applyNumberFormat="1" applyFont="1"/>
    <xf numFmtId="167" fontId="10" fillId="0" borderId="0" xfId="0" applyNumberFormat="1" applyFont="1"/>
    <xf numFmtId="167" fontId="8" fillId="0" borderId="7" xfId="0" applyNumberFormat="1" applyFont="1" applyBorder="1" applyAlignment="1">
      <alignment horizontal="right"/>
    </xf>
    <xf numFmtId="167" fontId="8" fillId="0" borderId="8" xfId="0" applyNumberFormat="1" applyFont="1" applyBorder="1" applyAlignment="1">
      <alignment horizontal="right"/>
    </xf>
    <xf numFmtId="167" fontId="8" fillId="0" borderId="9" xfId="0" applyNumberFormat="1" applyFont="1" applyBorder="1" applyAlignment="1">
      <alignment horizontal="right"/>
    </xf>
    <xf numFmtId="167" fontId="8" fillId="0" borderId="10" xfId="0" applyNumberFormat="1" applyFont="1" applyBorder="1" applyAlignment="1">
      <alignment horizontal="right"/>
    </xf>
    <xf numFmtId="167" fontId="8" fillId="0" borderId="11" xfId="0" applyNumberFormat="1" applyFont="1" applyBorder="1" applyAlignment="1">
      <alignment horizontal="right"/>
    </xf>
    <xf numFmtId="38" fontId="3" fillId="0" borderId="0" xfId="0" applyNumberFormat="1" applyFont="1" applyAlignment="1">
      <alignment horizontal="right"/>
    </xf>
    <xf numFmtId="37" fontId="8" fillId="0" borderId="10" xfId="0" applyNumberFormat="1" applyFont="1" applyBorder="1" applyAlignment="1">
      <alignment horizontal="right"/>
    </xf>
    <xf numFmtId="5" fontId="9" fillId="0" borderId="16" xfId="0" applyNumberFormat="1" applyFont="1" applyBorder="1" applyAlignment="1">
      <alignment horizontal="right"/>
    </xf>
    <xf numFmtId="167" fontId="9" fillId="0" borderId="0" xfId="0" applyNumberFormat="1" applyFont="1" applyAlignment="1">
      <alignment horizontal="right"/>
    </xf>
    <xf numFmtId="10" fontId="10" fillId="3" borderId="1" xfId="0" applyNumberFormat="1" applyFont="1" applyFill="1" applyBorder="1" applyAlignment="1">
      <alignment horizontal="center"/>
    </xf>
    <xf numFmtId="10" fontId="8" fillId="0" borderId="0" xfId="0" applyNumberFormat="1" applyFont="1" applyAlignment="1">
      <alignment horizontal="right"/>
    </xf>
    <xf numFmtId="0" fontId="10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right"/>
    </xf>
    <xf numFmtId="9" fontId="8" fillId="0" borderId="0" xfId="0" applyNumberFormat="1" applyFont="1"/>
    <xf numFmtId="0" fontId="11" fillId="3" borderId="1" xfId="0" applyFont="1" applyFill="1" applyBorder="1"/>
    <xf numFmtId="0" fontId="8" fillId="3" borderId="1" xfId="0" applyFont="1" applyFill="1" applyBorder="1"/>
    <xf numFmtId="7" fontId="10" fillId="0" borderId="0" xfId="0" applyNumberFormat="1" applyFont="1" applyAlignment="1">
      <alignment horizontal="center"/>
    </xf>
    <xf numFmtId="8" fontId="8" fillId="0" borderId="0" xfId="0" applyNumberFormat="1" applyFont="1"/>
    <xf numFmtId="0" fontId="8" fillId="0" borderId="5" xfId="0" applyFont="1" applyBorder="1"/>
    <xf numFmtId="0" fontId="8" fillId="0" borderId="5" xfId="0" applyFont="1" applyBorder="1" applyAlignment="1">
      <alignment horizontal="right"/>
    </xf>
    <xf numFmtId="167" fontId="8" fillId="0" borderId="5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5" fontId="4" fillId="0" borderId="17" xfId="0" applyNumberFormat="1" applyFont="1" applyBorder="1" applyAlignment="1">
      <alignment horizontal="right"/>
    </xf>
    <xf numFmtId="0" fontId="12" fillId="0" borderId="5" xfId="0" applyFont="1" applyBorder="1"/>
    <xf numFmtId="5" fontId="3" fillId="0" borderId="5" xfId="0" applyNumberFormat="1" applyFont="1" applyBorder="1" applyAlignment="1">
      <alignment horizontal="right"/>
    </xf>
    <xf numFmtId="0" fontId="4" fillId="0" borderId="10" xfId="0" applyFont="1" applyBorder="1" applyAlignment="1">
      <alignment horizontal="center"/>
    </xf>
    <xf numFmtId="166" fontId="4" fillId="0" borderId="10" xfId="0" applyNumberFormat="1" applyFont="1" applyBorder="1" applyAlignment="1">
      <alignment horizontal="right"/>
    </xf>
    <xf numFmtId="37" fontId="3" fillId="0" borderId="0" xfId="0" applyNumberFormat="1" applyFont="1" applyAlignment="1">
      <alignment horizontal="center"/>
    </xf>
    <xf numFmtId="0" fontId="10" fillId="3" borderId="18" xfId="0" applyFont="1" applyFill="1" applyBorder="1" applyAlignment="1">
      <alignment horizontal="center"/>
    </xf>
    <xf numFmtId="5" fontId="4" fillId="0" borderId="1" xfId="0" applyNumberFormat="1" applyFont="1" applyBorder="1" applyAlignment="1">
      <alignment horizontal="right"/>
    </xf>
    <xf numFmtId="167" fontId="10" fillId="0" borderId="1" xfId="0" applyNumberFormat="1" applyFont="1" applyBorder="1" applyAlignment="1">
      <alignment horizontal="right"/>
    </xf>
    <xf numFmtId="7" fontId="10" fillId="0" borderId="1" xfId="0" applyNumberFormat="1" applyFont="1" applyBorder="1" applyAlignment="1">
      <alignment horizontal="right"/>
    </xf>
    <xf numFmtId="37" fontId="4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37" fontId="6" fillId="5" borderId="1" xfId="0" applyNumberFormat="1" applyFont="1" applyFill="1" applyBorder="1" applyAlignment="1">
      <alignment vertical="center"/>
    </xf>
    <xf numFmtId="37" fontId="5" fillId="5" borderId="1" xfId="0" applyNumberFormat="1" applyFont="1" applyFill="1" applyBorder="1" applyAlignment="1">
      <alignment vertical="center"/>
    </xf>
    <xf numFmtId="171" fontId="18" fillId="5" borderId="1" xfId="0" applyNumberFormat="1" applyFont="1" applyFill="1" applyBorder="1" applyAlignment="1">
      <alignment vertical="center"/>
    </xf>
    <xf numFmtId="165" fontId="5" fillId="5" borderId="1" xfId="0" applyNumberFormat="1" applyFont="1" applyFill="1" applyBorder="1" applyAlignment="1">
      <alignment horizontal="center" vertical="center"/>
    </xf>
    <xf numFmtId="166" fontId="5" fillId="5" borderId="1" xfId="0" applyNumberFormat="1" applyFont="1" applyFill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right"/>
    </xf>
    <xf numFmtId="168" fontId="7" fillId="5" borderId="1" xfId="0" applyNumberFormat="1" applyFont="1" applyFill="1" applyBorder="1" applyAlignment="1">
      <alignment horizontal="center"/>
    </xf>
    <xf numFmtId="168" fontId="5" fillId="5" borderId="1" xfId="0" applyNumberFormat="1" applyFont="1" applyFill="1" applyBorder="1" applyAlignment="1">
      <alignment horizontal="center"/>
    </xf>
    <xf numFmtId="168" fontId="7" fillId="5" borderId="1" xfId="0" applyNumberFormat="1" applyFont="1" applyFill="1" applyBorder="1" applyAlignment="1">
      <alignment horizontal="right"/>
    </xf>
    <xf numFmtId="168" fontId="5" fillId="5" borderId="1" xfId="0" applyNumberFormat="1" applyFont="1" applyFill="1" applyBorder="1" applyAlignment="1">
      <alignment horizontal="right"/>
    </xf>
    <xf numFmtId="37" fontId="3" fillId="0" borderId="1" xfId="0" applyNumberFormat="1" applyFont="1" applyBorder="1" applyAlignment="1">
      <alignment horizontal="right"/>
    </xf>
    <xf numFmtId="16" fontId="4" fillId="0" borderId="1" xfId="0" applyNumberFormat="1" applyFont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5" fontId="3" fillId="0" borderId="1" xfId="0" applyNumberFormat="1" applyFont="1" applyBorder="1" applyAlignment="1">
      <alignment horizontal="right"/>
    </xf>
    <xf numFmtId="5" fontId="10" fillId="3" borderId="1" xfId="0" applyNumberFormat="1" applyFont="1" applyFill="1" applyBorder="1" applyAlignment="1">
      <alignment horizontal="right"/>
    </xf>
    <xf numFmtId="37" fontId="19" fillId="0" borderId="1" xfId="0" applyNumberFormat="1" applyFont="1" applyFill="1" applyBorder="1" applyAlignment="1">
      <alignment horizontal="right"/>
    </xf>
    <xf numFmtId="37" fontId="10" fillId="3" borderId="20" xfId="0" applyNumberFormat="1" applyFont="1" applyFill="1" applyBorder="1" applyAlignment="1">
      <alignment horizontal="right"/>
    </xf>
    <xf numFmtId="5" fontId="10" fillId="0" borderId="1" xfId="0" applyNumberFormat="1" applyFont="1" applyFill="1" applyBorder="1" applyAlignment="1">
      <alignment horizontal="right"/>
    </xf>
    <xf numFmtId="5" fontId="19" fillId="0" borderId="1" xfId="0" applyNumberFormat="1" applyFont="1" applyFill="1" applyBorder="1" applyAlignment="1">
      <alignment horizontal="right"/>
    </xf>
    <xf numFmtId="37" fontId="3" fillId="0" borderId="0" xfId="0" applyNumberFormat="1" applyFont="1" applyFill="1" applyAlignment="1">
      <alignment horizontal="right"/>
    </xf>
    <xf numFmtId="37" fontId="10" fillId="0" borderId="1" xfId="0" applyNumberFormat="1" applyFont="1" applyFill="1" applyBorder="1" applyAlignment="1">
      <alignment horizontal="right"/>
    </xf>
    <xf numFmtId="37" fontId="4" fillId="0" borderId="3" xfId="0" applyNumberFormat="1" applyFont="1" applyFill="1" applyBorder="1" applyAlignment="1">
      <alignment horizontal="right"/>
    </xf>
    <xf numFmtId="0" fontId="3" fillId="0" borderId="0" xfId="0" applyFont="1" applyFill="1"/>
    <xf numFmtId="37" fontId="6" fillId="0" borderId="1" xfId="0" applyNumberFormat="1" applyFont="1" applyFill="1" applyBorder="1" applyAlignment="1">
      <alignment vertical="center"/>
    </xf>
    <xf numFmtId="37" fontId="11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left"/>
    </xf>
    <xf numFmtId="37" fontId="3" fillId="0" borderId="0" xfId="0" applyNumberFormat="1" applyFont="1" applyFill="1" applyAlignment="1">
      <alignment vertical="center"/>
    </xf>
    <xf numFmtId="5" fontId="4" fillId="0" borderId="1" xfId="0" applyNumberFormat="1" applyFont="1" applyFill="1" applyBorder="1" applyAlignment="1">
      <alignment horizontal="right"/>
    </xf>
    <xf numFmtId="5" fontId="3" fillId="0" borderId="0" xfId="0" applyNumberFormat="1" applyFont="1" applyFill="1" applyAlignment="1">
      <alignment horizontal="center"/>
    </xf>
    <xf numFmtId="7" fontId="10" fillId="3" borderId="20" xfId="0" applyNumberFormat="1" applyFont="1" applyFill="1" applyBorder="1" applyAlignment="1">
      <alignment horizontal="right"/>
    </xf>
    <xf numFmtId="7" fontId="3" fillId="0" borderId="20" xfId="0" applyNumberFormat="1" applyFont="1" applyBorder="1" applyAlignment="1">
      <alignment horizontal="right"/>
    </xf>
    <xf numFmtId="7" fontId="4" fillId="0" borderId="1" xfId="0" applyNumberFormat="1" applyFont="1" applyBorder="1" applyAlignment="1">
      <alignment horizontal="right"/>
    </xf>
    <xf numFmtId="37" fontId="6" fillId="5" borderId="1" xfId="0" applyNumberFormat="1" applyFont="1" applyFill="1" applyBorder="1" applyAlignment="1">
      <alignment horizontal="center" vertical="center"/>
    </xf>
    <xf numFmtId="37" fontId="5" fillId="5" borderId="1" xfId="0" applyNumberFormat="1" applyFont="1" applyFill="1" applyBorder="1" applyAlignment="1">
      <alignment horizontal="center" vertical="center"/>
    </xf>
    <xf numFmtId="37" fontId="5" fillId="0" borderId="0" xfId="0" applyNumberFormat="1" applyFont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0" fillId="0" borderId="1" xfId="0" applyFont="1" applyFill="1" applyBorder="1"/>
    <xf numFmtId="169" fontId="3" fillId="0" borderId="1" xfId="0" applyNumberFormat="1" applyFont="1" applyBorder="1"/>
    <xf numFmtId="37" fontId="4" fillId="0" borderId="1" xfId="0" applyNumberFormat="1" applyFont="1" applyFill="1" applyBorder="1" applyAlignment="1">
      <alignment horizontal="right"/>
    </xf>
    <xf numFmtId="37" fontId="20" fillId="0" borderId="1" xfId="0" applyNumberFormat="1" applyFont="1" applyFill="1" applyBorder="1" applyAlignment="1">
      <alignment horizontal="right"/>
    </xf>
    <xf numFmtId="37" fontId="10" fillId="0" borderId="20" xfId="0" applyNumberFormat="1" applyFont="1" applyFill="1" applyBorder="1" applyAlignment="1">
      <alignment horizontal="right"/>
    </xf>
    <xf numFmtId="37" fontId="3" fillId="0" borderId="1" xfId="0" applyNumberFormat="1" applyFont="1" applyFill="1" applyBorder="1" applyAlignment="1">
      <alignment horizontal="right"/>
    </xf>
    <xf numFmtId="37" fontId="20" fillId="0" borderId="20" xfId="0" applyNumberFormat="1" applyFont="1" applyFill="1" applyBorder="1" applyAlignment="1">
      <alignment horizontal="right"/>
    </xf>
    <xf numFmtId="169" fontId="3" fillId="0" borderId="22" xfId="0" applyNumberFormat="1" applyFont="1" applyBorder="1"/>
    <xf numFmtId="169" fontId="3" fillId="0" borderId="23" xfId="0" applyNumberFormat="1" applyFont="1" applyBorder="1"/>
    <xf numFmtId="169" fontId="3" fillId="0" borderId="24" xfId="0" applyNumberFormat="1" applyFont="1" applyBorder="1"/>
    <xf numFmtId="167" fontId="8" fillId="0" borderId="25" xfId="0" applyNumberFormat="1" applyFont="1" applyBorder="1" applyAlignment="1">
      <alignment horizontal="right"/>
    </xf>
    <xf numFmtId="167" fontId="8" fillId="0" borderId="26" xfId="0" applyNumberFormat="1" applyFont="1" applyBorder="1" applyAlignment="1">
      <alignment horizontal="right"/>
    </xf>
    <xf numFmtId="167" fontId="8" fillId="0" borderId="27" xfId="0" applyNumberFormat="1" applyFont="1" applyBorder="1" applyAlignment="1">
      <alignment horizontal="right"/>
    </xf>
    <xf numFmtId="164" fontId="3" fillId="0" borderId="1" xfId="3" applyFont="1" applyBorder="1"/>
    <xf numFmtId="5" fontId="10" fillId="7" borderId="1" xfId="0" applyNumberFormat="1" applyFont="1" applyFill="1" applyBorder="1" applyAlignment="1">
      <alignment horizontal="right"/>
    </xf>
    <xf numFmtId="10" fontId="10" fillId="2" borderId="1" xfId="4" applyNumberFormat="1" applyFont="1" applyFill="1" applyBorder="1" applyAlignment="1">
      <alignment horizontal="right"/>
    </xf>
    <xf numFmtId="10" fontId="3" fillId="0" borderId="22" xfId="0" applyNumberFormat="1" applyFont="1" applyBorder="1"/>
    <xf numFmtId="10" fontId="10" fillId="2" borderId="23" xfId="4" applyNumberFormat="1" applyFont="1" applyFill="1" applyBorder="1" applyAlignment="1">
      <alignment horizontal="right"/>
    </xf>
    <xf numFmtId="10" fontId="10" fillId="2" borderId="24" xfId="4" applyNumberFormat="1" applyFont="1" applyFill="1" applyBorder="1" applyAlignment="1">
      <alignment horizontal="right"/>
    </xf>
    <xf numFmtId="173" fontId="3" fillId="0" borderId="21" xfId="3" applyNumberFormat="1" applyFont="1" applyBorder="1"/>
    <xf numFmtId="5" fontId="10" fillId="7" borderId="28" xfId="0" applyNumberFormat="1" applyFont="1" applyFill="1" applyBorder="1" applyAlignment="1">
      <alignment horizontal="right"/>
    </xf>
    <xf numFmtId="10" fontId="3" fillId="0" borderId="21" xfId="0" applyNumberFormat="1" applyFont="1" applyBorder="1"/>
    <xf numFmtId="10" fontId="10" fillId="2" borderId="28" xfId="4" applyNumberFormat="1" applyFont="1" applyFill="1" applyBorder="1" applyAlignment="1">
      <alignment horizontal="right"/>
    </xf>
    <xf numFmtId="10" fontId="3" fillId="0" borderId="25" xfId="0" applyNumberFormat="1" applyFont="1" applyBorder="1"/>
    <xf numFmtId="10" fontId="10" fillId="2" borderId="26" xfId="4" applyNumberFormat="1" applyFont="1" applyFill="1" applyBorder="1" applyAlignment="1">
      <alignment horizontal="right"/>
    </xf>
    <xf numFmtId="10" fontId="10" fillId="2" borderId="27" xfId="4" applyNumberFormat="1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0" fontId="8" fillId="0" borderId="19" xfId="0" applyFont="1" applyBorder="1"/>
    <xf numFmtId="0" fontId="12" fillId="0" borderId="19" xfId="0" applyFont="1" applyBorder="1"/>
    <xf numFmtId="0" fontId="3" fillId="0" borderId="19" xfId="0" applyFont="1" applyBorder="1"/>
    <xf numFmtId="39" fontId="10" fillId="3" borderId="1" xfId="0" applyNumberFormat="1" applyFont="1" applyFill="1" applyBorder="1" applyAlignment="1">
      <alignment horizontal="right"/>
    </xf>
    <xf numFmtId="0" fontId="10" fillId="6" borderId="0" xfId="0" applyFont="1" applyFill="1" applyAlignment="1">
      <alignment horizontal="center"/>
    </xf>
    <xf numFmtId="174" fontId="10" fillId="6" borderId="0" xfId="0" applyNumberFormat="1" applyFont="1" applyFill="1" applyAlignment="1">
      <alignment horizontal="center"/>
    </xf>
    <xf numFmtId="39" fontId="10" fillId="3" borderId="20" xfId="0" applyNumberFormat="1" applyFont="1" applyFill="1" applyBorder="1" applyAlignment="1">
      <alignment horizontal="right"/>
    </xf>
    <xf numFmtId="2" fontId="4" fillId="0" borderId="1" xfId="0" applyNumberFormat="1" applyFont="1" applyBorder="1"/>
    <xf numFmtId="1" fontId="3" fillId="0" borderId="21" xfId="0" applyNumberFormat="1" applyFont="1" applyBorder="1"/>
    <xf numFmtId="1" fontId="3" fillId="0" borderId="1" xfId="0" applyNumberFormat="1" applyFont="1" applyBorder="1"/>
    <xf numFmtId="1" fontId="3" fillId="0" borderId="28" xfId="0" applyNumberFormat="1" applyFont="1" applyBorder="1"/>
    <xf numFmtId="0" fontId="3" fillId="0" borderId="1" xfId="0" applyFont="1" applyBorder="1"/>
    <xf numFmtId="172" fontId="10" fillId="3" borderId="1" xfId="0" applyNumberFormat="1" applyFont="1" applyFill="1" applyBorder="1" applyAlignment="1">
      <alignment horizontal="right"/>
    </xf>
    <xf numFmtId="175" fontId="3" fillId="0" borderId="1" xfId="0" applyNumberFormat="1" applyFont="1" applyBorder="1"/>
    <xf numFmtId="175" fontId="20" fillId="0" borderId="1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175" fontId="4" fillId="0" borderId="1" xfId="3" applyNumberFormat="1" applyFont="1" applyBorder="1"/>
    <xf numFmtId="171" fontId="5" fillId="5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167" fontId="10" fillId="0" borderId="1" xfId="0" applyNumberFormat="1" applyFont="1" applyFill="1" applyBorder="1" applyAlignment="1">
      <alignment horizontal="right"/>
    </xf>
    <xf numFmtId="165" fontId="4" fillId="0" borderId="10" xfId="0" applyNumberFormat="1" applyFont="1" applyBorder="1" applyAlignment="1">
      <alignment horizontal="right"/>
    </xf>
    <xf numFmtId="37" fontId="10" fillId="0" borderId="1" xfId="0" applyNumberFormat="1" applyFont="1" applyFill="1" applyBorder="1" applyAlignment="1">
      <alignment horizontal="center"/>
    </xf>
    <xf numFmtId="0" fontId="3" fillId="0" borderId="5" xfId="0" applyFont="1" applyFill="1" applyBorder="1"/>
    <xf numFmtId="0" fontId="4" fillId="0" borderId="10" xfId="0" applyFont="1" applyBorder="1" applyAlignment="1">
      <alignment horizontal="left"/>
    </xf>
    <xf numFmtId="37" fontId="10" fillId="6" borderId="0" xfId="0" applyNumberFormat="1" applyFont="1" applyFill="1" applyAlignment="1">
      <alignment horizontal="right"/>
    </xf>
    <xf numFmtId="175" fontId="8" fillId="0" borderId="17" xfId="0" applyNumberFormat="1" applyFont="1" applyBorder="1" applyAlignment="1">
      <alignment horizontal="right"/>
    </xf>
    <xf numFmtId="175" fontId="8" fillId="0" borderId="10" xfId="0" applyNumberFormat="1" applyFont="1" applyBorder="1" applyAlignment="1">
      <alignment horizontal="right"/>
    </xf>
    <xf numFmtId="175" fontId="9" fillId="0" borderId="17" xfId="0" applyNumberFormat="1" applyFont="1" applyBorder="1" applyAlignment="1">
      <alignment horizontal="right"/>
    </xf>
    <xf numFmtId="175" fontId="8" fillId="0" borderId="0" xfId="0" applyNumberFormat="1" applyFont="1" applyAlignment="1">
      <alignment horizontal="right"/>
    </xf>
  </cellXfs>
  <cellStyles count="5">
    <cellStyle name="Currency" xfId="3" builtinId="4"/>
    <cellStyle name="Followed Hyperlink" xfId="2" builtinId="9" hidden="1"/>
    <cellStyle name="Hyperlink" xfId="1" builtinId="8" hidden="1"/>
    <cellStyle name="Normal" xfId="0" builtinId="0"/>
    <cellStyle name="Percent" xfId="4" builtinId="5"/>
  </cellStyles>
  <dxfs count="2">
    <dxf>
      <font>
        <b/>
        <color theme="9"/>
      </font>
      <numFmt numFmtId="0" formatCode="General"/>
      <fill>
        <patternFill patternType="none"/>
      </fill>
    </dxf>
    <dxf>
      <font>
        <b/>
        <color rgb="FFFF0000"/>
      </font>
      <numFmt numFmtId="0" formatCode="General"/>
      <fill>
        <patternFill patternType="none"/>
      </fill>
    </dxf>
  </dxfs>
  <tableStyles count="0" defaultTableStyle="TableStyleMedium9" defaultPivotStyle="PivotStyleMedium7"/>
  <colors>
    <mruColors>
      <color rgb="FF0000FF"/>
      <color rgb="FF003C3E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customschemas.google.com/relationships/workbookmetadata" Target="metadata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Shared%20drives/Scale%20Shared%20Drive/Consulting/4%20Projects/4.3%20Client%20library/FSFS%20Flourish!%20School%20Food%20Society/Analysis/Labour%20Schedu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bour"/>
    </sheetNames>
    <sheetDataSet>
      <sheetData sheetId="0">
        <row r="6">
          <cell r="J6">
            <v>5.9499999999999997E-2</v>
          </cell>
        </row>
        <row r="7">
          <cell r="J7">
            <v>1.6299999999999999E-2</v>
          </cell>
        </row>
        <row r="8">
          <cell r="J8">
            <v>1.06E-2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28"/>
  <sheetViews>
    <sheetView showGridLines="0" tabSelected="1" zoomScale="115" zoomScaleNormal="115" zoomScalePageLayoutView="115" workbookViewId="0">
      <pane ySplit="4" topLeftCell="A141" activePane="bottomLeft" state="frozen"/>
      <selection pane="bottomLeft" activeCell="L335" sqref="L335"/>
    </sheetView>
  </sheetViews>
  <sheetFormatPr baseColWidth="10" defaultColWidth="14.5" defaultRowHeight="15" customHeight="1" outlineLevelRow="1" x14ac:dyDescent="0.15"/>
  <cols>
    <col min="1" max="1" width="3" style="1" customWidth="1"/>
    <col min="2" max="2" width="2.6640625" style="1" customWidth="1"/>
    <col min="3" max="3" width="49" style="1" bestFit="1" customWidth="1"/>
    <col min="4" max="4" width="6.83203125" style="1" bestFit="1" customWidth="1"/>
    <col min="5" max="5" width="15.6640625" style="51" customWidth="1"/>
    <col min="6" max="10" width="10.6640625" style="1" customWidth="1"/>
    <col min="11" max="16" width="12.6640625" style="1" customWidth="1"/>
    <col min="17" max="28" width="8.6640625" style="1" customWidth="1"/>
    <col min="29" max="16384" width="14.5" style="1"/>
  </cols>
  <sheetData>
    <row r="1" spans="1:18" ht="14" x14ac:dyDescent="0.15">
      <c r="A1" s="112"/>
      <c r="B1" s="113" t="s">
        <v>182</v>
      </c>
      <c r="C1" s="112"/>
      <c r="D1" s="112"/>
      <c r="E1" s="144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R1" s="10"/>
    </row>
    <row r="2" spans="1:18" ht="14" x14ac:dyDescent="0.15">
      <c r="A2" s="112"/>
      <c r="B2" s="112"/>
      <c r="C2" s="112"/>
      <c r="D2" s="112"/>
      <c r="E2" s="144"/>
      <c r="F2" s="112"/>
      <c r="G2" s="112"/>
      <c r="H2" s="112"/>
      <c r="I2" s="112"/>
      <c r="J2" s="114">
        <f>EOMONTH(K2,-12)</f>
        <v>45107</v>
      </c>
      <c r="K2" s="114">
        <v>45473</v>
      </c>
      <c r="L2" s="114">
        <f>EOMONTH(K2,12)</f>
        <v>45838</v>
      </c>
      <c r="M2" s="114">
        <f>EOMONTH(L2,12)</f>
        <v>46203</v>
      </c>
      <c r="N2" s="114">
        <f>EOMONTH(M2,12)</f>
        <v>46568</v>
      </c>
      <c r="O2" s="114">
        <f>EOMONTH(N2,12)</f>
        <v>46934</v>
      </c>
      <c r="P2" s="114">
        <f>EOMONTH(O2,12)</f>
        <v>47299</v>
      </c>
      <c r="R2" s="10"/>
    </row>
    <row r="3" spans="1:18" ht="14" x14ac:dyDescent="0.15">
      <c r="A3" s="112"/>
      <c r="B3" s="112"/>
      <c r="C3" s="112"/>
      <c r="D3" s="112"/>
      <c r="E3" s="144"/>
      <c r="F3" s="112"/>
      <c r="G3" s="112"/>
      <c r="H3" s="112"/>
      <c r="I3" s="112"/>
      <c r="J3" s="112"/>
      <c r="K3" s="194" t="str">
        <f>IF(K211=0,"OK","ERROR")</f>
        <v>OK</v>
      </c>
      <c r="L3" s="194" t="str">
        <f t="shared" ref="L3:P3" si="0">IF(L211=0,"OK","ERROR")</f>
        <v>OK</v>
      </c>
      <c r="M3" s="194" t="str">
        <f t="shared" si="0"/>
        <v>OK</v>
      </c>
      <c r="N3" s="194" t="str">
        <f t="shared" si="0"/>
        <v>OK</v>
      </c>
      <c r="O3" s="194" t="str">
        <f t="shared" si="0"/>
        <v>OK</v>
      </c>
      <c r="P3" s="194" t="str">
        <f t="shared" si="0"/>
        <v>OK</v>
      </c>
      <c r="R3" s="10"/>
    </row>
    <row r="4" spans="1:18" s="110" customFormat="1" ht="14" x14ac:dyDescent="0.15">
      <c r="A4" s="112"/>
      <c r="B4" s="112"/>
      <c r="C4" s="112"/>
      <c r="D4" s="112"/>
      <c r="E4" s="144"/>
      <c r="F4" s="112"/>
      <c r="G4" s="112"/>
      <c r="H4" s="112"/>
      <c r="I4" s="112"/>
      <c r="J4" s="112"/>
      <c r="K4" s="115">
        <f>YEAR(K2)</f>
        <v>2024</v>
      </c>
      <c r="L4" s="116">
        <f t="shared" ref="L4:P4" si="1">IFERROR(K4+1,"")</f>
        <v>2025</v>
      </c>
      <c r="M4" s="116">
        <f t="shared" si="1"/>
        <v>2026</v>
      </c>
      <c r="N4" s="116">
        <f t="shared" si="1"/>
        <v>2027</v>
      </c>
      <c r="O4" s="116">
        <f t="shared" si="1"/>
        <v>2028</v>
      </c>
      <c r="P4" s="116">
        <f t="shared" si="1"/>
        <v>2029</v>
      </c>
      <c r="R4" s="111"/>
    </row>
    <row r="5" spans="1:18" ht="14" x14ac:dyDescent="0.15">
      <c r="A5" s="134"/>
      <c r="K5" s="24"/>
      <c r="L5" s="24"/>
      <c r="M5" s="24"/>
      <c r="N5" s="24"/>
      <c r="O5" s="24"/>
      <c r="P5" s="24"/>
    </row>
    <row r="6" spans="1:18" ht="14" x14ac:dyDescent="0.15">
      <c r="A6" s="135"/>
      <c r="B6" s="113" t="s">
        <v>1</v>
      </c>
      <c r="C6" s="113"/>
      <c r="D6" s="113"/>
      <c r="E6" s="145"/>
      <c r="F6" s="113"/>
      <c r="G6" s="113"/>
      <c r="H6" s="113"/>
      <c r="I6" s="113"/>
      <c r="J6" s="113"/>
      <c r="K6" s="117"/>
      <c r="L6" s="117"/>
      <c r="M6" s="117"/>
      <c r="N6" s="117"/>
      <c r="O6" s="117"/>
      <c r="P6" s="117"/>
    </row>
    <row r="7" spans="1:18" ht="14" outlineLevel="1" x14ac:dyDescent="0.15">
      <c r="A7" s="134"/>
      <c r="D7" s="10"/>
      <c r="E7" s="22"/>
      <c r="F7" s="10"/>
      <c r="G7" s="10"/>
      <c r="H7" s="10"/>
      <c r="I7" s="10"/>
      <c r="J7" s="10"/>
      <c r="K7" s="35"/>
      <c r="L7" s="36"/>
      <c r="M7" s="36"/>
      <c r="N7" s="36"/>
      <c r="O7" s="36"/>
      <c r="P7" s="36"/>
      <c r="R7" s="10"/>
    </row>
    <row r="8" spans="1:18" ht="14" outlineLevel="1" x14ac:dyDescent="0.15">
      <c r="A8" s="134"/>
      <c r="B8" s="9" t="s">
        <v>2</v>
      </c>
      <c r="D8" s="10"/>
      <c r="E8" s="22"/>
      <c r="F8" s="10"/>
      <c r="G8" s="10"/>
      <c r="H8" s="10"/>
      <c r="I8" s="10"/>
      <c r="J8" s="10"/>
      <c r="K8" s="38">
        <v>175</v>
      </c>
      <c r="L8" s="38">
        <v>175</v>
      </c>
      <c r="M8" s="38">
        <v>175</v>
      </c>
      <c r="N8" s="38">
        <v>175</v>
      </c>
      <c r="O8" s="38">
        <v>175</v>
      </c>
      <c r="P8" s="38">
        <v>175</v>
      </c>
      <c r="R8" s="10"/>
    </row>
    <row r="9" spans="1:18" ht="14" outlineLevel="1" x14ac:dyDescent="0.15">
      <c r="A9" s="134"/>
      <c r="D9" s="10"/>
      <c r="E9" s="22"/>
      <c r="F9" s="10"/>
      <c r="G9" s="10"/>
      <c r="H9" s="10"/>
      <c r="I9" s="10"/>
      <c r="J9" s="10"/>
      <c r="K9" s="36"/>
      <c r="L9" s="36"/>
      <c r="M9" s="36"/>
      <c r="N9" s="36"/>
      <c r="O9" s="36"/>
      <c r="P9" s="36"/>
      <c r="R9" s="10"/>
    </row>
    <row r="10" spans="1:18" ht="14" outlineLevel="1" x14ac:dyDescent="0.15">
      <c r="A10" s="134"/>
      <c r="B10" s="25" t="s">
        <v>186</v>
      </c>
      <c r="D10" s="10"/>
      <c r="E10" s="22"/>
      <c r="F10" s="10"/>
      <c r="G10" s="10"/>
      <c r="H10" s="10"/>
      <c r="I10" s="10"/>
      <c r="J10" s="10"/>
      <c r="K10" s="36"/>
      <c r="L10" s="36"/>
      <c r="M10" s="36"/>
      <c r="N10" s="36"/>
      <c r="O10" s="36"/>
      <c r="P10" s="36"/>
      <c r="R10" s="10"/>
    </row>
    <row r="11" spans="1:18" ht="14" outlineLevel="1" x14ac:dyDescent="0.15">
      <c r="A11" s="134"/>
      <c r="C11" s="40" t="s">
        <v>3</v>
      </c>
      <c r="E11" s="14" t="s">
        <v>4</v>
      </c>
      <c r="K11" s="37">
        <v>737</v>
      </c>
      <c r="L11" s="37">
        <v>1000</v>
      </c>
      <c r="M11" s="37">
        <v>900</v>
      </c>
      <c r="N11" s="37">
        <v>1100</v>
      </c>
      <c r="O11" s="37">
        <v>1500</v>
      </c>
      <c r="P11" s="37">
        <v>1800</v>
      </c>
    </row>
    <row r="12" spans="1:18" ht="14" outlineLevel="1" x14ac:dyDescent="0.15">
      <c r="A12" s="134"/>
      <c r="C12" s="40" t="s">
        <v>5</v>
      </c>
      <c r="E12" s="14" t="s">
        <v>4</v>
      </c>
      <c r="K12" s="37">
        <f>19250/K8</f>
        <v>110</v>
      </c>
      <c r="L12" s="37">
        <f>19250/L8</f>
        <v>110</v>
      </c>
      <c r="M12" s="37">
        <v>110</v>
      </c>
      <c r="N12" s="37">
        <v>110</v>
      </c>
      <c r="O12" s="37">
        <v>110</v>
      </c>
      <c r="P12" s="37">
        <v>400</v>
      </c>
    </row>
    <row r="13" spans="1:18" ht="14" outlineLevel="1" x14ac:dyDescent="0.15">
      <c r="A13" s="134"/>
      <c r="C13" s="40"/>
      <c r="E13" s="14"/>
      <c r="K13" s="39"/>
      <c r="L13" s="39"/>
      <c r="M13" s="39"/>
      <c r="N13" s="39"/>
      <c r="O13" s="39"/>
      <c r="P13" s="39"/>
    </row>
    <row r="14" spans="1:18" ht="14" outlineLevel="1" x14ac:dyDescent="0.15">
      <c r="A14" s="134"/>
      <c r="B14" s="25" t="s">
        <v>112</v>
      </c>
      <c r="K14" s="24"/>
      <c r="L14" s="24"/>
      <c r="M14" s="24"/>
      <c r="N14" s="24"/>
      <c r="O14" s="24"/>
      <c r="P14" s="24"/>
    </row>
    <row r="15" spans="1:18" ht="15.75" customHeight="1" outlineLevel="1" x14ac:dyDescent="0.15">
      <c r="A15" s="134"/>
      <c r="C15" s="40" t="s">
        <v>3</v>
      </c>
      <c r="E15" s="14" t="s">
        <v>6</v>
      </c>
      <c r="F15" s="14"/>
      <c r="K15" s="41">
        <v>7</v>
      </c>
      <c r="L15" s="41">
        <v>7.2</v>
      </c>
      <c r="M15" s="41">
        <v>7.4</v>
      </c>
      <c r="N15" s="41">
        <v>7.6</v>
      </c>
      <c r="O15" s="41">
        <v>7.8</v>
      </c>
      <c r="P15" s="41">
        <v>8</v>
      </c>
    </row>
    <row r="16" spans="1:18" ht="15.75" customHeight="1" outlineLevel="1" x14ac:dyDescent="0.15">
      <c r="A16" s="134"/>
      <c r="C16" s="40" t="s">
        <v>5</v>
      </c>
      <c r="E16" s="14" t="s">
        <v>6</v>
      </c>
      <c r="K16" s="41">
        <v>3.5</v>
      </c>
      <c r="L16" s="41">
        <v>3.6</v>
      </c>
      <c r="M16" s="41">
        <v>3.7</v>
      </c>
      <c r="N16" s="41">
        <v>3.8</v>
      </c>
      <c r="O16" s="41">
        <v>3.9</v>
      </c>
      <c r="P16" s="41">
        <v>4</v>
      </c>
    </row>
    <row r="17" spans="1:18" ht="15.75" customHeight="1" outlineLevel="1" x14ac:dyDescent="0.15">
      <c r="A17" s="134"/>
      <c r="K17" s="24"/>
      <c r="L17" s="24"/>
      <c r="M17" s="24"/>
      <c r="N17" s="24"/>
      <c r="O17" s="24"/>
      <c r="P17" s="24"/>
    </row>
    <row r="18" spans="1:18" ht="15.75" customHeight="1" outlineLevel="1" x14ac:dyDescent="0.15">
      <c r="A18" s="134"/>
      <c r="B18" s="4" t="s">
        <v>150</v>
      </c>
      <c r="K18" s="139">
        <f t="shared" ref="K18:P18" si="2">(K11*K15*K8)+(K12*K16*K8)</f>
        <v>970200</v>
      </c>
      <c r="L18" s="139">
        <f t="shared" si="2"/>
        <v>1329300</v>
      </c>
      <c r="M18" s="139">
        <f t="shared" si="2"/>
        <v>1236725</v>
      </c>
      <c r="N18" s="139">
        <f t="shared" si="2"/>
        <v>1536150</v>
      </c>
      <c r="O18" s="139">
        <f t="shared" si="2"/>
        <v>2122575</v>
      </c>
      <c r="P18" s="139">
        <f t="shared" si="2"/>
        <v>2800000</v>
      </c>
    </row>
    <row r="19" spans="1:18" ht="15.75" customHeight="1" outlineLevel="1" x14ac:dyDescent="0.15">
      <c r="A19" s="134"/>
      <c r="K19" s="139"/>
      <c r="L19" s="139"/>
      <c r="M19" s="139"/>
      <c r="N19" s="139"/>
      <c r="O19" s="139"/>
      <c r="P19" s="139"/>
    </row>
    <row r="20" spans="1:18" ht="14" outlineLevel="1" x14ac:dyDescent="0.15">
      <c r="A20" s="134"/>
      <c r="B20" s="25" t="s">
        <v>113</v>
      </c>
      <c r="D20" s="10"/>
      <c r="E20" s="22"/>
      <c r="F20" s="10"/>
      <c r="G20" s="10"/>
      <c r="H20" s="10"/>
      <c r="I20" s="10"/>
      <c r="J20" s="10"/>
      <c r="K20" s="35"/>
      <c r="L20" s="36"/>
      <c r="M20" s="36"/>
      <c r="N20" s="36"/>
      <c r="O20" s="36"/>
      <c r="P20" s="36"/>
      <c r="R20" s="10"/>
    </row>
    <row r="21" spans="1:18" ht="14" outlineLevel="1" x14ac:dyDescent="0.15">
      <c r="A21" s="134"/>
      <c r="C21" s="40" t="s">
        <v>115</v>
      </c>
      <c r="E21" s="14" t="s">
        <v>116</v>
      </c>
      <c r="K21" s="107"/>
      <c r="L21" s="37">
        <v>2200</v>
      </c>
      <c r="M21" s="37">
        <v>2650</v>
      </c>
      <c r="N21" s="37">
        <v>2650</v>
      </c>
      <c r="O21" s="37">
        <v>2650</v>
      </c>
      <c r="P21" s="37">
        <v>2650</v>
      </c>
    </row>
    <row r="22" spans="1:18" ht="14" outlineLevel="1" x14ac:dyDescent="0.15">
      <c r="A22" s="134"/>
      <c r="C22" s="40"/>
      <c r="E22" s="14"/>
      <c r="K22" s="107"/>
      <c r="L22" s="196"/>
      <c r="M22" s="196"/>
      <c r="N22" s="196"/>
      <c r="O22" s="196"/>
      <c r="P22" s="196"/>
    </row>
    <row r="23" spans="1:18" ht="14" outlineLevel="1" x14ac:dyDescent="0.15">
      <c r="A23" s="134"/>
      <c r="B23" s="25" t="s">
        <v>114</v>
      </c>
      <c r="K23" s="24"/>
      <c r="L23" s="24"/>
      <c r="M23" s="24"/>
      <c r="N23" s="24"/>
      <c r="O23" s="24"/>
      <c r="P23" s="24"/>
    </row>
    <row r="24" spans="1:18" ht="15.75" customHeight="1" outlineLevel="1" x14ac:dyDescent="0.15">
      <c r="A24" s="134"/>
      <c r="C24" s="40" t="s">
        <v>117</v>
      </c>
      <c r="E24" s="14" t="s">
        <v>118</v>
      </c>
      <c r="F24" s="14"/>
      <c r="K24" s="108"/>
      <c r="L24" s="41">
        <v>0.8</v>
      </c>
      <c r="M24" s="41">
        <v>0.8</v>
      </c>
      <c r="N24" s="41">
        <v>0.8</v>
      </c>
      <c r="O24" s="41">
        <v>0.8</v>
      </c>
      <c r="P24" s="41">
        <v>0.8</v>
      </c>
    </row>
    <row r="25" spans="1:18" ht="15.75" customHeight="1" outlineLevel="1" x14ac:dyDescent="0.15">
      <c r="A25" s="134"/>
      <c r="K25" s="24"/>
      <c r="L25" s="24"/>
      <c r="M25" s="24"/>
      <c r="N25" s="24"/>
      <c r="O25" s="24"/>
      <c r="P25" s="24"/>
    </row>
    <row r="26" spans="1:18" ht="15.75" customHeight="1" outlineLevel="1" x14ac:dyDescent="0.15">
      <c r="A26" s="134"/>
      <c r="B26" s="4" t="s">
        <v>151</v>
      </c>
      <c r="K26" s="106"/>
      <c r="L26" s="106">
        <f>L8*L21*L24</f>
        <v>308000</v>
      </c>
      <c r="M26" s="106">
        <f>M8*M21*M24</f>
        <v>371000</v>
      </c>
      <c r="N26" s="106">
        <f>N8*N21*N24</f>
        <v>371000</v>
      </c>
      <c r="O26" s="106">
        <f>O8*O21*O24</f>
        <v>371000</v>
      </c>
      <c r="P26" s="106">
        <f>P8*P21*P24</f>
        <v>371000</v>
      </c>
    </row>
    <row r="27" spans="1:18" ht="15.75" customHeight="1" outlineLevel="1" x14ac:dyDescent="0.15">
      <c r="A27" s="134"/>
      <c r="K27" s="139"/>
      <c r="L27" s="139"/>
      <c r="M27" s="139"/>
      <c r="N27" s="139"/>
      <c r="O27" s="139"/>
      <c r="P27" s="139"/>
    </row>
    <row r="28" spans="1:18" ht="15.75" customHeight="1" outlineLevel="1" x14ac:dyDescent="0.15">
      <c r="A28" s="134"/>
      <c r="B28" s="4" t="s">
        <v>135</v>
      </c>
      <c r="K28" s="139">
        <f t="shared" ref="K28:P28" si="3">K18+K26</f>
        <v>970200</v>
      </c>
      <c r="L28" s="139">
        <f t="shared" si="3"/>
        <v>1637300</v>
      </c>
      <c r="M28" s="139">
        <f t="shared" si="3"/>
        <v>1607725</v>
      </c>
      <c r="N28" s="139">
        <f t="shared" si="3"/>
        <v>1907150</v>
      </c>
      <c r="O28" s="139">
        <f t="shared" si="3"/>
        <v>2493575</v>
      </c>
      <c r="P28" s="139">
        <f t="shared" si="3"/>
        <v>3171000</v>
      </c>
    </row>
    <row r="29" spans="1:18" ht="15.75" customHeight="1" outlineLevel="1" x14ac:dyDescent="0.15">
      <c r="A29" s="134"/>
      <c r="K29" s="140"/>
      <c r="L29" s="140"/>
      <c r="M29" s="140"/>
      <c r="N29" s="140"/>
      <c r="O29" s="140"/>
      <c r="P29" s="140"/>
    </row>
    <row r="30" spans="1:18" ht="15.75" customHeight="1" x14ac:dyDescent="0.15">
      <c r="A30" s="134"/>
      <c r="K30" s="42"/>
      <c r="L30" s="42"/>
      <c r="M30" s="42"/>
      <c r="N30" s="42"/>
      <c r="O30" s="42"/>
      <c r="P30" s="42"/>
    </row>
    <row r="31" spans="1:18" ht="15.75" customHeight="1" x14ac:dyDescent="0.15">
      <c r="A31" s="135"/>
      <c r="B31" s="113" t="s">
        <v>10</v>
      </c>
      <c r="C31" s="113"/>
      <c r="D31" s="113"/>
      <c r="E31" s="145"/>
      <c r="F31" s="113"/>
      <c r="G31" s="113"/>
      <c r="H31" s="113"/>
      <c r="I31" s="113"/>
      <c r="J31" s="113"/>
      <c r="K31" s="117"/>
      <c r="L31" s="117"/>
      <c r="M31" s="117"/>
      <c r="N31" s="117"/>
      <c r="O31" s="117"/>
      <c r="P31" s="117"/>
    </row>
    <row r="32" spans="1:18" ht="15.75" customHeight="1" outlineLevel="1" x14ac:dyDescent="0.15">
      <c r="A32" s="134"/>
      <c r="B32" s="33"/>
      <c r="C32" s="33"/>
      <c r="D32" s="5"/>
      <c r="E32" s="146"/>
      <c r="F32" s="5"/>
      <c r="G32" s="5"/>
      <c r="H32" s="5"/>
      <c r="I32" s="5"/>
      <c r="J32" s="5"/>
      <c r="K32" s="123"/>
      <c r="L32" s="124"/>
      <c r="M32" s="124"/>
      <c r="N32" s="124"/>
      <c r="O32" s="124"/>
      <c r="P32" s="124"/>
    </row>
    <row r="33" spans="1:16" ht="15.75" customHeight="1" outlineLevel="1" x14ac:dyDescent="0.15">
      <c r="A33" s="134"/>
      <c r="B33" s="4" t="s">
        <v>8</v>
      </c>
      <c r="D33" s="5"/>
      <c r="E33" s="146"/>
      <c r="F33" s="5"/>
      <c r="G33" s="5"/>
      <c r="H33" s="5"/>
      <c r="I33" s="5"/>
      <c r="J33" s="5"/>
      <c r="K33" s="44"/>
      <c r="L33" s="44"/>
      <c r="M33" s="44"/>
      <c r="N33" s="44"/>
      <c r="O33" s="44"/>
      <c r="P33" s="44"/>
    </row>
    <row r="34" spans="1:16" ht="15.75" customHeight="1" outlineLevel="1" x14ac:dyDescent="0.15">
      <c r="A34" s="134"/>
      <c r="B34" s="1" t="s">
        <v>3</v>
      </c>
      <c r="D34" s="5"/>
      <c r="E34" s="14" t="s">
        <v>4</v>
      </c>
      <c r="F34" s="5"/>
      <c r="G34" s="5"/>
      <c r="H34" s="5"/>
      <c r="I34" s="5"/>
      <c r="J34" s="5"/>
      <c r="K34" s="45">
        <f t="shared" ref="K34:P35" si="4">K11</f>
        <v>737</v>
      </c>
      <c r="L34" s="16">
        <f t="shared" si="4"/>
        <v>1000</v>
      </c>
      <c r="M34" s="16">
        <f t="shared" si="4"/>
        <v>900</v>
      </c>
      <c r="N34" s="16">
        <f t="shared" si="4"/>
        <v>1100</v>
      </c>
      <c r="O34" s="16">
        <f t="shared" si="4"/>
        <v>1500</v>
      </c>
      <c r="P34" s="46">
        <f t="shared" si="4"/>
        <v>1800</v>
      </c>
    </row>
    <row r="35" spans="1:16" ht="15.75" customHeight="1" outlineLevel="1" x14ac:dyDescent="0.15">
      <c r="A35" s="134"/>
      <c r="B35" s="1" t="s">
        <v>5</v>
      </c>
      <c r="D35" s="5"/>
      <c r="E35" s="14" t="s">
        <v>4</v>
      </c>
      <c r="F35" s="5"/>
      <c r="G35" s="5"/>
      <c r="H35" s="5"/>
      <c r="I35" s="5"/>
      <c r="J35" s="5"/>
      <c r="K35" s="47">
        <f t="shared" si="4"/>
        <v>110</v>
      </c>
      <c r="L35" s="17">
        <f t="shared" si="4"/>
        <v>110</v>
      </c>
      <c r="M35" s="17">
        <f t="shared" si="4"/>
        <v>110</v>
      </c>
      <c r="N35" s="17">
        <f t="shared" si="4"/>
        <v>110</v>
      </c>
      <c r="O35" s="17">
        <f t="shared" si="4"/>
        <v>110</v>
      </c>
      <c r="P35" s="48">
        <f t="shared" si="4"/>
        <v>400</v>
      </c>
    </row>
    <row r="36" spans="1:16" ht="15.75" customHeight="1" outlineLevel="1" x14ac:dyDescent="0.15">
      <c r="A36" s="134"/>
      <c r="B36" s="1" t="s">
        <v>119</v>
      </c>
      <c r="D36" s="5"/>
      <c r="E36" s="14" t="s">
        <v>116</v>
      </c>
      <c r="F36" s="5"/>
      <c r="G36" s="5"/>
      <c r="H36" s="5"/>
      <c r="I36" s="5"/>
      <c r="J36" s="5"/>
      <c r="K36" s="47">
        <f>K21</f>
        <v>0</v>
      </c>
      <c r="L36" s="17">
        <f>L21</f>
        <v>2200</v>
      </c>
      <c r="M36" s="17">
        <f>M21</f>
        <v>2650</v>
      </c>
      <c r="N36" s="17">
        <f>N21</f>
        <v>2650</v>
      </c>
      <c r="O36" s="17">
        <f>O21</f>
        <v>2650</v>
      </c>
      <c r="P36" s="48">
        <f>P21</f>
        <v>2650</v>
      </c>
    </row>
    <row r="37" spans="1:16" ht="15.75" customHeight="1" outlineLevel="1" x14ac:dyDescent="0.15">
      <c r="A37" s="134"/>
      <c r="B37" s="9" t="s">
        <v>2</v>
      </c>
      <c r="D37" s="10"/>
      <c r="E37" s="22"/>
      <c r="F37" s="43"/>
      <c r="G37" s="124"/>
      <c r="H37" s="124"/>
      <c r="I37" s="124"/>
      <c r="J37" s="124"/>
      <c r="K37" s="79">
        <f t="shared" ref="K37:P37" si="5">K8</f>
        <v>175</v>
      </c>
      <c r="L37" s="49">
        <f t="shared" si="5"/>
        <v>175</v>
      </c>
      <c r="M37" s="49">
        <f t="shared" si="5"/>
        <v>175</v>
      </c>
      <c r="N37" s="49">
        <f t="shared" si="5"/>
        <v>175</v>
      </c>
      <c r="O37" s="49">
        <f t="shared" si="5"/>
        <v>175</v>
      </c>
      <c r="P37" s="50">
        <f t="shared" si="5"/>
        <v>175</v>
      </c>
    </row>
    <row r="38" spans="1:16" ht="15.75" customHeight="1" outlineLevel="1" x14ac:dyDescent="0.15">
      <c r="A38" s="134"/>
      <c r="K38" s="51"/>
      <c r="L38" s="51"/>
      <c r="M38" s="51"/>
      <c r="N38" s="51"/>
      <c r="O38" s="51"/>
      <c r="P38" s="51"/>
    </row>
    <row r="39" spans="1:16" ht="15.75" customHeight="1" outlineLevel="1" x14ac:dyDescent="0.15">
      <c r="A39" s="134"/>
      <c r="B39" s="1" t="s">
        <v>9</v>
      </c>
      <c r="K39" s="52">
        <v>0.02</v>
      </c>
      <c r="L39" s="53">
        <v>0.05</v>
      </c>
      <c r="M39" s="53">
        <v>0.02</v>
      </c>
      <c r="N39" s="53">
        <v>0.02</v>
      </c>
      <c r="O39" s="53">
        <v>0.02</v>
      </c>
      <c r="P39" s="54">
        <v>0.02</v>
      </c>
    </row>
    <row r="40" spans="1:16" ht="15.75" customHeight="1" outlineLevel="1" x14ac:dyDescent="0.15">
      <c r="A40" s="134"/>
      <c r="K40" s="55"/>
      <c r="L40" s="55"/>
      <c r="M40" s="55"/>
      <c r="N40" s="55"/>
      <c r="O40" s="55"/>
      <c r="P40" s="55"/>
    </row>
    <row r="41" spans="1:16" ht="15.75" customHeight="1" outlineLevel="1" x14ac:dyDescent="0.15">
      <c r="A41" s="134"/>
      <c r="B41" s="4" t="s">
        <v>10</v>
      </c>
      <c r="K41" s="55"/>
      <c r="L41" s="55"/>
      <c r="M41" s="55"/>
      <c r="N41" s="55"/>
      <c r="O41" s="55"/>
      <c r="P41" s="55"/>
    </row>
    <row r="42" spans="1:16" ht="15.75" customHeight="1" outlineLevel="1" x14ac:dyDescent="0.15">
      <c r="A42" s="134"/>
      <c r="B42" s="28" t="s">
        <v>11</v>
      </c>
      <c r="K42" s="23"/>
      <c r="L42" s="23"/>
      <c r="M42" s="23"/>
      <c r="N42" s="23"/>
      <c r="O42" s="23"/>
      <c r="P42" s="23"/>
    </row>
    <row r="43" spans="1:16" ht="15.75" customHeight="1" outlineLevel="1" x14ac:dyDescent="0.15">
      <c r="A43" s="134"/>
      <c r="C43" s="40" t="s">
        <v>3</v>
      </c>
      <c r="E43" s="14" t="s">
        <v>6</v>
      </c>
      <c r="K43" s="56">
        <v>1.46</v>
      </c>
      <c r="L43" s="57">
        <f>K43+(K43*L39)</f>
        <v>1.5329999999999999</v>
      </c>
      <c r="M43" s="57">
        <f>L43*(1+L$39)</f>
        <v>1.60965</v>
      </c>
      <c r="N43" s="57">
        <f t="shared" ref="N43:P43" si="6">M43*(1+M$39)</f>
        <v>1.6418430000000002</v>
      </c>
      <c r="O43" s="57">
        <f t="shared" si="6"/>
        <v>1.6746798600000001</v>
      </c>
      <c r="P43" s="57">
        <f t="shared" si="6"/>
        <v>1.7081734572000002</v>
      </c>
    </row>
    <row r="44" spans="1:16" ht="15.75" customHeight="1" outlineLevel="1" x14ac:dyDescent="0.15">
      <c r="A44" s="134"/>
      <c r="C44" s="40" t="s">
        <v>5</v>
      </c>
      <c r="E44" s="14" t="s">
        <v>6</v>
      </c>
      <c r="K44" s="56">
        <v>0.6</v>
      </c>
      <c r="L44" s="57">
        <f>K44+(K44*L39)</f>
        <v>0.63</v>
      </c>
      <c r="M44" s="57">
        <f t="shared" ref="M44:P44" si="7">L44*(1+L$39)</f>
        <v>0.66150000000000009</v>
      </c>
      <c r="N44" s="57">
        <f t="shared" si="7"/>
        <v>0.67473000000000005</v>
      </c>
      <c r="O44" s="57">
        <f t="shared" si="7"/>
        <v>0.68822460000000008</v>
      </c>
      <c r="P44" s="57">
        <f t="shared" si="7"/>
        <v>0.70198909200000004</v>
      </c>
    </row>
    <row r="45" spans="1:16" ht="15.75" customHeight="1" outlineLevel="1" x14ac:dyDescent="0.15">
      <c r="A45" s="134"/>
      <c r="C45" s="40" t="s">
        <v>119</v>
      </c>
      <c r="E45" s="14" t="s">
        <v>118</v>
      </c>
      <c r="K45" s="141">
        <v>0</v>
      </c>
      <c r="L45" s="141">
        <v>0.66400000000000003</v>
      </c>
      <c r="M45" s="142">
        <f t="shared" ref="M45" si="8">L45*(1+L$39)</f>
        <v>0.69720000000000004</v>
      </c>
      <c r="N45" s="142">
        <f t="shared" ref="N45" si="9">M45*(1+M$39)</f>
        <v>0.71114400000000011</v>
      </c>
      <c r="O45" s="142">
        <f t="shared" ref="O45" si="10">N45*(1+N$39)</f>
        <v>0.72536688000000016</v>
      </c>
      <c r="P45" s="142">
        <f t="shared" ref="P45" si="11">O45*(1+O$39)</f>
        <v>0.73987421760000016</v>
      </c>
    </row>
    <row r="46" spans="1:16" ht="15.75" customHeight="1" outlineLevel="1" x14ac:dyDescent="0.15">
      <c r="A46" s="134"/>
      <c r="B46" s="4" t="s">
        <v>144</v>
      </c>
      <c r="C46" s="4"/>
      <c r="E46" s="14" t="s">
        <v>18</v>
      </c>
      <c r="K46" s="106">
        <f>(K34*K37*K43)+(K35*K37*K44)+(K36*K37*K45)</f>
        <v>199853.5</v>
      </c>
      <c r="L46" s="106">
        <f>(L34*L37*L43)+(L35*L37*L44)+(L36*L37*L45)</f>
        <v>536042.5</v>
      </c>
      <c r="M46" s="106">
        <f t="shared" ref="M46:P46" si="12">(M34*M37*M43)+(M35*M37*M44)+(M36*M37*M45)</f>
        <v>589580.25</v>
      </c>
      <c r="N46" s="106">
        <f t="shared" si="12"/>
        <v>658836.3600000001</v>
      </c>
      <c r="O46" s="106">
        <f t="shared" si="12"/>
        <v>789240.67740000016</v>
      </c>
      <c r="P46" s="106">
        <f t="shared" si="12"/>
        <v>930330.54387000017</v>
      </c>
    </row>
    <row r="47" spans="1:16" ht="15.75" customHeight="1" outlineLevel="1" x14ac:dyDescent="0.15">
      <c r="A47" s="134"/>
      <c r="B47" s="28" t="s">
        <v>12</v>
      </c>
      <c r="E47" s="14"/>
      <c r="K47" s="23"/>
      <c r="L47" s="23"/>
      <c r="M47" s="23"/>
      <c r="N47" s="23"/>
      <c r="O47" s="23"/>
      <c r="P47" s="23"/>
    </row>
    <row r="48" spans="1:16" ht="15.75" customHeight="1" outlineLevel="1" x14ac:dyDescent="0.15">
      <c r="A48" s="134"/>
      <c r="C48" s="40" t="s">
        <v>3</v>
      </c>
      <c r="E48" s="14" t="s">
        <v>6</v>
      </c>
      <c r="K48" s="56">
        <v>0.03</v>
      </c>
      <c r="L48" s="57">
        <f t="shared" ref="L48" si="13">K48*(1+K$39)</f>
        <v>3.0599999999999999E-2</v>
      </c>
      <c r="M48" s="57">
        <f t="shared" ref="M48:M49" si="14">L48*(1+L$39)</f>
        <v>3.2129999999999999E-2</v>
      </c>
      <c r="N48" s="57">
        <f t="shared" ref="N48:N49" si="15">M48*(1+M$39)</f>
        <v>3.2772599999999999E-2</v>
      </c>
      <c r="O48" s="57">
        <f t="shared" ref="O48:O49" si="16">N48*(1+N$39)</f>
        <v>3.3428052E-2</v>
      </c>
      <c r="P48" s="57">
        <f t="shared" ref="P48:P49" si="17">O48*(1+O$39)</f>
        <v>3.4096613040000001E-2</v>
      </c>
    </row>
    <row r="49" spans="1:16" ht="15.75" customHeight="1" outlineLevel="1" x14ac:dyDescent="0.15">
      <c r="A49" s="134"/>
      <c r="C49" s="40" t="s">
        <v>5</v>
      </c>
      <c r="E49" s="14" t="s">
        <v>6</v>
      </c>
      <c r="K49" s="141">
        <f>K48</f>
        <v>0.03</v>
      </c>
      <c r="L49" s="142">
        <f t="shared" ref="L49" si="18">K49*(1+K$39)</f>
        <v>3.0599999999999999E-2</v>
      </c>
      <c r="M49" s="142">
        <f t="shared" si="14"/>
        <v>3.2129999999999999E-2</v>
      </c>
      <c r="N49" s="142">
        <f t="shared" si="15"/>
        <v>3.2772599999999999E-2</v>
      </c>
      <c r="O49" s="142">
        <f t="shared" si="16"/>
        <v>3.3428052E-2</v>
      </c>
      <c r="P49" s="142">
        <f t="shared" si="17"/>
        <v>3.4096613040000001E-2</v>
      </c>
    </row>
    <row r="50" spans="1:16" ht="15.75" customHeight="1" outlineLevel="1" x14ac:dyDescent="0.15">
      <c r="A50" s="134"/>
      <c r="B50" s="4" t="s">
        <v>145</v>
      </c>
      <c r="C50" s="4"/>
      <c r="E50" s="14" t="s">
        <v>18</v>
      </c>
      <c r="K50" s="106">
        <f>(K34*K37*K48)+(K35*K44*K49)</f>
        <v>3871.23</v>
      </c>
      <c r="L50" s="106">
        <f t="shared" ref="L50:P50" si="19">(L34*L37*L48)+(L35*L44*L49)</f>
        <v>5357.1205799999998</v>
      </c>
      <c r="M50" s="106">
        <f t="shared" si="19"/>
        <v>5062.8129394499992</v>
      </c>
      <c r="N50" s="106">
        <f t="shared" si="19"/>
        <v>6311.1578922037797</v>
      </c>
      <c r="O50" s="106">
        <f t="shared" si="19"/>
        <v>8777.3943108488129</v>
      </c>
      <c r="P50" s="106">
        <f t="shared" si="19"/>
        <v>10750.00728777129</v>
      </c>
    </row>
    <row r="51" spans="1:16" ht="15.75" customHeight="1" outlineLevel="1" x14ac:dyDescent="0.15">
      <c r="A51" s="134"/>
      <c r="C51" s="4"/>
      <c r="E51" s="14"/>
      <c r="K51" s="106"/>
      <c r="L51" s="106"/>
      <c r="M51" s="106"/>
      <c r="N51" s="106"/>
      <c r="O51" s="106"/>
      <c r="P51" s="106"/>
    </row>
    <row r="52" spans="1:16" ht="15.75" customHeight="1" outlineLevel="1" x14ac:dyDescent="0.15">
      <c r="A52" s="134"/>
      <c r="B52" s="4" t="s">
        <v>139</v>
      </c>
      <c r="C52" s="4"/>
      <c r="E52" s="14" t="s">
        <v>18</v>
      </c>
      <c r="K52" s="106">
        <f>K46+K50</f>
        <v>203724.73</v>
      </c>
      <c r="L52" s="106">
        <f t="shared" ref="L52:P52" si="20">L46+L50</f>
        <v>541399.62057999999</v>
      </c>
      <c r="M52" s="106">
        <f t="shared" si="20"/>
        <v>594643.06293945003</v>
      </c>
      <c r="N52" s="106">
        <f t="shared" si="20"/>
        <v>665147.51789220388</v>
      </c>
      <c r="O52" s="106">
        <f t="shared" si="20"/>
        <v>798018.07171084895</v>
      </c>
      <c r="P52" s="106">
        <f t="shared" si="20"/>
        <v>941080.55115777149</v>
      </c>
    </row>
    <row r="53" spans="1:16" ht="15.75" customHeight="1" outlineLevel="1" x14ac:dyDescent="0.15">
      <c r="A53" s="134"/>
      <c r="C53" s="4"/>
      <c r="E53" s="14"/>
      <c r="K53" s="106"/>
      <c r="L53" s="106"/>
      <c r="M53" s="106"/>
      <c r="N53" s="106"/>
      <c r="O53" s="106"/>
      <c r="P53" s="106"/>
    </row>
    <row r="54" spans="1:16" ht="15.75" customHeight="1" outlineLevel="1" x14ac:dyDescent="0.15">
      <c r="A54" s="134"/>
      <c r="B54" s="4" t="s">
        <v>136</v>
      </c>
      <c r="C54" s="4"/>
      <c r="E54" s="14" t="s">
        <v>18</v>
      </c>
      <c r="K54" s="125">
        <v>16000</v>
      </c>
      <c r="L54" s="126">
        <v>35000</v>
      </c>
      <c r="M54" s="126">
        <v>0</v>
      </c>
      <c r="N54" s="126">
        <v>0</v>
      </c>
      <c r="O54" s="126">
        <v>0</v>
      </c>
      <c r="P54" s="126">
        <v>0</v>
      </c>
    </row>
    <row r="55" spans="1:16" ht="15.75" customHeight="1" outlineLevel="1" x14ac:dyDescent="0.15">
      <c r="A55" s="134"/>
      <c r="B55" s="4" t="s">
        <v>137</v>
      </c>
      <c r="C55" s="4"/>
      <c r="E55" s="14" t="s">
        <v>18</v>
      </c>
      <c r="K55" s="125">
        <v>3500</v>
      </c>
      <c r="L55" s="126">
        <v>20000</v>
      </c>
      <c r="M55" s="126">
        <v>0</v>
      </c>
      <c r="N55" s="126">
        <v>0</v>
      </c>
      <c r="O55" s="126">
        <v>0</v>
      </c>
      <c r="P55" s="126">
        <v>0</v>
      </c>
    </row>
    <row r="56" spans="1:16" ht="15.75" customHeight="1" outlineLevel="1" x14ac:dyDescent="0.15">
      <c r="A56" s="134"/>
      <c r="C56" s="4"/>
      <c r="E56" s="14"/>
      <c r="K56" s="143"/>
      <c r="L56" s="143"/>
      <c r="M56" s="143"/>
      <c r="N56" s="143"/>
      <c r="O56" s="143"/>
      <c r="P56" s="143"/>
    </row>
    <row r="57" spans="1:16" ht="15.75" customHeight="1" outlineLevel="1" x14ac:dyDescent="0.15">
      <c r="A57" s="134"/>
      <c r="B57" s="4" t="s">
        <v>140</v>
      </c>
      <c r="C57" s="4"/>
      <c r="E57" s="14"/>
      <c r="K57" s="106">
        <f>K52+K54+K55</f>
        <v>223224.73</v>
      </c>
      <c r="L57" s="106">
        <f t="shared" ref="L57:P57" si="21">L52+L54+L55</f>
        <v>596399.62057999999</v>
      </c>
      <c r="M57" s="106">
        <f t="shared" si="21"/>
        <v>594643.06293945003</v>
      </c>
      <c r="N57" s="106">
        <f t="shared" si="21"/>
        <v>665147.51789220388</v>
      </c>
      <c r="O57" s="106">
        <f t="shared" si="21"/>
        <v>798018.07171084895</v>
      </c>
      <c r="P57" s="106">
        <f t="shared" si="21"/>
        <v>941080.55115777149</v>
      </c>
    </row>
    <row r="58" spans="1:16" ht="15.75" customHeight="1" outlineLevel="1" x14ac:dyDescent="0.15">
      <c r="A58" s="134"/>
      <c r="B58" s="4"/>
      <c r="C58" s="4"/>
      <c r="E58" s="14"/>
      <c r="K58" s="106"/>
      <c r="L58" s="106"/>
      <c r="M58" s="106"/>
      <c r="N58" s="106"/>
      <c r="O58" s="106"/>
      <c r="P58" s="106"/>
    </row>
    <row r="59" spans="1:16" ht="15.75" customHeight="1" x14ac:dyDescent="0.15">
      <c r="A59" s="134"/>
      <c r="B59" s="4"/>
      <c r="C59" s="4"/>
      <c r="E59" s="14"/>
      <c r="K59" s="106"/>
      <c r="L59" s="106"/>
      <c r="M59" s="106"/>
      <c r="N59" s="106"/>
      <c r="O59" s="106"/>
      <c r="P59" s="106"/>
    </row>
    <row r="60" spans="1:16" ht="15.75" customHeight="1" x14ac:dyDescent="0.15">
      <c r="A60" s="135"/>
      <c r="B60" s="113" t="s">
        <v>143</v>
      </c>
      <c r="C60" s="113"/>
      <c r="D60" s="113"/>
      <c r="E60" s="145"/>
      <c r="F60" s="113"/>
      <c r="G60" s="113"/>
      <c r="H60" s="113"/>
      <c r="I60" s="113"/>
      <c r="J60" s="113"/>
      <c r="K60" s="117"/>
      <c r="L60" s="117"/>
      <c r="M60" s="117"/>
      <c r="N60" s="117"/>
      <c r="O60" s="117"/>
      <c r="P60" s="117"/>
    </row>
    <row r="61" spans="1:16" ht="15.75" customHeight="1" outlineLevel="1" x14ac:dyDescent="0.15">
      <c r="A61" s="134"/>
      <c r="B61" s="4"/>
      <c r="C61" s="4"/>
      <c r="E61" s="14"/>
      <c r="K61" s="106"/>
      <c r="L61" s="106"/>
      <c r="M61" s="106"/>
      <c r="N61" s="106"/>
      <c r="O61" s="106"/>
      <c r="P61" s="106"/>
    </row>
    <row r="62" spans="1:16" ht="15.75" customHeight="1" outlineLevel="1" x14ac:dyDescent="0.15">
      <c r="A62" s="134"/>
      <c r="B62" s="1" t="s">
        <v>9</v>
      </c>
      <c r="K62" s="52">
        <f>K39</f>
        <v>0.02</v>
      </c>
      <c r="L62" s="53">
        <f t="shared" ref="L62:P62" si="22">L39</f>
        <v>0.05</v>
      </c>
      <c r="M62" s="53">
        <f t="shared" si="22"/>
        <v>0.02</v>
      </c>
      <c r="N62" s="53">
        <f t="shared" si="22"/>
        <v>0.02</v>
      </c>
      <c r="O62" s="53">
        <f t="shared" si="22"/>
        <v>0.02</v>
      </c>
      <c r="P62" s="54">
        <f t="shared" si="22"/>
        <v>0.02</v>
      </c>
    </row>
    <row r="63" spans="1:16" ht="15.75" customHeight="1" outlineLevel="1" x14ac:dyDescent="0.15">
      <c r="A63" s="134"/>
      <c r="K63" s="150"/>
      <c r="L63" s="150"/>
      <c r="M63" s="150"/>
      <c r="N63" s="150"/>
      <c r="O63" s="150"/>
      <c r="P63" s="150"/>
    </row>
    <row r="64" spans="1:16" ht="15.75" customHeight="1" outlineLevel="1" x14ac:dyDescent="0.15">
      <c r="A64" s="134"/>
      <c r="B64" s="4" t="s">
        <v>143</v>
      </c>
      <c r="K64" s="55"/>
      <c r="L64" s="55"/>
      <c r="M64" s="55"/>
      <c r="N64" s="55"/>
      <c r="O64" s="55"/>
      <c r="P64" s="55"/>
    </row>
    <row r="65" spans="1:16" ht="15.75" customHeight="1" outlineLevel="1" x14ac:dyDescent="0.15">
      <c r="A65" s="134"/>
      <c r="B65" s="28" t="s">
        <v>14</v>
      </c>
    </row>
    <row r="66" spans="1:16" ht="15.75" customHeight="1" outlineLevel="1" x14ac:dyDescent="0.15">
      <c r="A66" s="134"/>
      <c r="B66" s="4"/>
      <c r="C66" s="1" t="s">
        <v>120</v>
      </c>
      <c r="E66" s="14" t="s">
        <v>18</v>
      </c>
      <c r="K66" s="15">
        <v>1</v>
      </c>
      <c r="L66" s="15">
        <v>1</v>
      </c>
      <c r="M66" s="15">
        <v>1</v>
      </c>
      <c r="N66" s="15">
        <v>2</v>
      </c>
      <c r="O66" s="15">
        <v>2</v>
      </c>
      <c r="P66" s="15">
        <v>2</v>
      </c>
    </row>
    <row r="67" spans="1:16" ht="15.75" customHeight="1" outlineLevel="1" x14ac:dyDescent="0.15">
      <c r="A67" s="134"/>
      <c r="B67" s="4"/>
      <c r="C67" s="1" t="s">
        <v>129</v>
      </c>
      <c r="E67" s="14" t="s">
        <v>141</v>
      </c>
      <c r="K67" s="15">
        <v>40</v>
      </c>
      <c r="L67" s="15">
        <v>40</v>
      </c>
      <c r="M67" s="15">
        <v>11</v>
      </c>
      <c r="N67" s="15">
        <v>11</v>
      </c>
      <c r="O67" s="15">
        <v>11</v>
      </c>
      <c r="P67" s="15">
        <v>11</v>
      </c>
    </row>
    <row r="68" spans="1:16" ht="15.75" customHeight="1" outlineLevel="1" x14ac:dyDescent="0.15">
      <c r="A68" s="134"/>
      <c r="B68" s="4"/>
      <c r="C68" s="1" t="s">
        <v>128</v>
      </c>
      <c r="E68" s="14" t="s">
        <v>141</v>
      </c>
      <c r="K68" s="128">
        <f t="shared" ref="K68:P68" si="23">K8</f>
        <v>175</v>
      </c>
      <c r="L68" s="128">
        <f t="shared" si="23"/>
        <v>175</v>
      </c>
      <c r="M68" s="128">
        <f t="shared" si="23"/>
        <v>175</v>
      </c>
      <c r="N68" s="128">
        <f t="shared" si="23"/>
        <v>175</v>
      </c>
      <c r="O68" s="128">
        <f t="shared" si="23"/>
        <v>175</v>
      </c>
      <c r="P68" s="128">
        <f t="shared" si="23"/>
        <v>175</v>
      </c>
    </row>
    <row r="69" spans="1:16" ht="15.75" customHeight="1" outlineLevel="1" x14ac:dyDescent="0.15">
      <c r="A69" s="134"/>
      <c r="B69" s="4"/>
      <c r="C69" s="4" t="s">
        <v>142</v>
      </c>
      <c r="E69" s="14" t="s">
        <v>141</v>
      </c>
      <c r="K69" s="127">
        <f>K66*(K67+K68)</f>
        <v>215</v>
      </c>
      <c r="L69" s="127">
        <f t="shared" ref="L69:P69" si="24">L66*(L67+L68)</f>
        <v>215</v>
      </c>
      <c r="M69" s="127">
        <f t="shared" si="24"/>
        <v>186</v>
      </c>
      <c r="N69" s="127">
        <f t="shared" si="24"/>
        <v>372</v>
      </c>
      <c r="O69" s="127">
        <f t="shared" si="24"/>
        <v>372</v>
      </c>
      <c r="P69" s="127">
        <f t="shared" si="24"/>
        <v>372</v>
      </c>
    </row>
    <row r="70" spans="1:16" ht="15.75" customHeight="1" outlineLevel="1" x14ac:dyDescent="0.15">
      <c r="A70" s="134"/>
      <c r="C70" s="1" t="s">
        <v>130</v>
      </c>
      <c r="E70" s="14" t="s">
        <v>15</v>
      </c>
      <c r="K70" s="56">
        <v>37.5</v>
      </c>
      <c r="L70" s="56">
        <v>37.5</v>
      </c>
      <c r="M70" s="56">
        <v>37.5</v>
      </c>
      <c r="N70" s="56">
        <v>40</v>
      </c>
      <c r="O70" s="56">
        <v>40</v>
      </c>
      <c r="P70" s="56">
        <v>40</v>
      </c>
    </row>
    <row r="71" spans="1:16" ht="15.75" customHeight="1" outlineLevel="1" x14ac:dyDescent="0.15">
      <c r="A71" s="134"/>
      <c r="C71" s="1" t="s">
        <v>16</v>
      </c>
      <c r="E71" s="14" t="s">
        <v>17</v>
      </c>
      <c r="K71" s="128">
        <v>8</v>
      </c>
      <c r="L71" s="128">
        <v>8</v>
      </c>
      <c r="M71" s="128">
        <v>8</v>
      </c>
      <c r="N71" s="128">
        <v>8</v>
      </c>
      <c r="O71" s="128">
        <v>8</v>
      </c>
      <c r="P71" s="128">
        <v>8</v>
      </c>
    </row>
    <row r="72" spans="1:16" ht="15.75" customHeight="1" outlineLevel="1" x14ac:dyDescent="0.15">
      <c r="A72" s="134"/>
      <c r="B72" s="4" t="s">
        <v>152</v>
      </c>
      <c r="C72" s="4"/>
      <c r="E72" s="14" t="s">
        <v>18</v>
      </c>
      <c r="K72" s="106">
        <f>K69*K70*K71</f>
        <v>64500</v>
      </c>
      <c r="L72" s="106">
        <f t="shared" ref="L72:P72" si="25">L69*L70*L71</f>
        <v>64500</v>
      </c>
      <c r="M72" s="106">
        <f t="shared" si="25"/>
        <v>55800</v>
      </c>
      <c r="N72" s="106">
        <f t="shared" si="25"/>
        <v>119040</v>
      </c>
      <c r="O72" s="106">
        <f t="shared" si="25"/>
        <v>119040</v>
      </c>
      <c r="P72" s="106">
        <f t="shared" si="25"/>
        <v>119040</v>
      </c>
    </row>
    <row r="73" spans="1:16" ht="15.75" customHeight="1" outlineLevel="1" x14ac:dyDescent="0.15">
      <c r="A73" s="134"/>
      <c r="B73" s="4"/>
      <c r="C73" s="4"/>
      <c r="E73" s="14"/>
      <c r="K73" s="109"/>
      <c r="L73" s="109"/>
      <c r="M73" s="109"/>
      <c r="N73" s="109"/>
      <c r="O73" s="109"/>
      <c r="P73" s="109"/>
    </row>
    <row r="74" spans="1:16" ht="15.75" customHeight="1" outlineLevel="1" x14ac:dyDescent="0.15">
      <c r="A74" s="134"/>
      <c r="B74" s="28" t="s">
        <v>121</v>
      </c>
      <c r="C74" s="4"/>
      <c r="E74" s="14"/>
      <c r="K74" s="109"/>
      <c r="L74" s="109"/>
      <c r="M74" s="109"/>
      <c r="N74" s="109"/>
      <c r="O74" s="109"/>
      <c r="P74" s="109"/>
    </row>
    <row r="75" spans="1:16" ht="15.75" customHeight="1" outlineLevel="1" x14ac:dyDescent="0.15">
      <c r="A75" s="134"/>
      <c r="B75" s="4"/>
      <c r="C75" s="1" t="s">
        <v>122</v>
      </c>
      <c r="E75" s="14" t="s">
        <v>125</v>
      </c>
      <c r="K75" s="15">
        <v>4</v>
      </c>
      <c r="L75" s="15">
        <v>6</v>
      </c>
      <c r="M75" s="15">
        <v>3</v>
      </c>
      <c r="N75" s="15">
        <v>3</v>
      </c>
      <c r="O75" s="15">
        <v>3</v>
      </c>
      <c r="P75" s="15">
        <v>3</v>
      </c>
    </row>
    <row r="76" spans="1:16" ht="15.75" customHeight="1" outlineLevel="1" x14ac:dyDescent="0.15">
      <c r="A76" s="134"/>
      <c r="B76" s="4"/>
      <c r="C76" s="1" t="s">
        <v>123</v>
      </c>
      <c r="E76" s="14" t="s">
        <v>124</v>
      </c>
      <c r="K76" s="141">
        <v>50</v>
      </c>
      <c r="L76" s="141">
        <v>50</v>
      </c>
      <c r="M76" s="141">
        <v>50</v>
      </c>
      <c r="N76" s="141">
        <v>50</v>
      </c>
      <c r="O76" s="141">
        <v>50</v>
      </c>
      <c r="P76" s="141">
        <v>50</v>
      </c>
    </row>
    <row r="77" spans="1:16" ht="15.75" customHeight="1" outlineLevel="1" x14ac:dyDescent="0.15">
      <c r="A77" s="134"/>
      <c r="B77" s="4"/>
      <c r="C77" s="4" t="s">
        <v>13</v>
      </c>
      <c r="E77" s="14" t="s">
        <v>18</v>
      </c>
      <c r="K77" s="106">
        <f>K75*K76*12</f>
        <v>2400</v>
      </c>
      <c r="L77" s="106">
        <f t="shared" ref="L77:P77" si="26">L75*L76*12</f>
        <v>3600</v>
      </c>
      <c r="M77" s="106">
        <f t="shared" si="26"/>
        <v>1800</v>
      </c>
      <c r="N77" s="106">
        <f t="shared" si="26"/>
        <v>1800</v>
      </c>
      <c r="O77" s="106">
        <f t="shared" si="26"/>
        <v>1800</v>
      </c>
      <c r="P77" s="106">
        <f t="shared" si="26"/>
        <v>1800</v>
      </c>
    </row>
    <row r="78" spans="1:16" ht="15.75" customHeight="1" outlineLevel="1" x14ac:dyDescent="0.15">
      <c r="A78" s="134"/>
      <c r="B78" s="4"/>
      <c r="C78" s="4"/>
      <c r="E78" s="14"/>
      <c r="K78" s="106"/>
      <c r="L78" s="106"/>
      <c r="M78" s="106"/>
      <c r="N78" s="106"/>
      <c r="O78" s="106"/>
      <c r="P78" s="106"/>
    </row>
    <row r="79" spans="1:16" ht="15.75" customHeight="1" outlineLevel="1" x14ac:dyDescent="0.15">
      <c r="A79" s="134"/>
      <c r="B79" s="4"/>
      <c r="C79" s="1" t="s">
        <v>126</v>
      </c>
      <c r="E79" s="14" t="s">
        <v>127</v>
      </c>
      <c r="K79" s="15">
        <v>0</v>
      </c>
      <c r="L79" s="15">
        <v>0</v>
      </c>
      <c r="M79" s="15">
        <v>4</v>
      </c>
      <c r="N79" s="15">
        <v>4</v>
      </c>
      <c r="O79" s="15">
        <v>4</v>
      </c>
      <c r="P79" s="15">
        <v>4</v>
      </c>
    </row>
    <row r="80" spans="1:16" ht="15.75" customHeight="1" outlineLevel="1" x14ac:dyDescent="0.15">
      <c r="A80" s="134"/>
      <c r="B80" s="4"/>
      <c r="C80" s="1" t="s">
        <v>123</v>
      </c>
      <c r="E80" s="14" t="s">
        <v>124</v>
      </c>
      <c r="K80" s="141">
        <v>0</v>
      </c>
      <c r="L80" s="141">
        <v>25</v>
      </c>
      <c r="M80" s="141">
        <v>30</v>
      </c>
      <c r="N80" s="141">
        <v>30</v>
      </c>
      <c r="O80" s="141">
        <v>30</v>
      </c>
      <c r="P80" s="141">
        <v>30</v>
      </c>
    </row>
    <row r="81" spans="1:16" ht="15.75" customHeight="1" outlineLevel="1" x14ac:dyDescent="0.15">
      <c r="A81" s="134"/>
      <c r="B81" s="4"/>
      <c r="C81" s="4" t="s">
        <v>13</v>
      </c>
      <c r="E81" s="14" t="s">
        <v>18</v>
      </c>
      <c r="K81" s="139">
        <f>K79*K80*12</f>
        <v>0</v>
      </c>
      <c r="L81" s="139">
        <f t="shared" ref="L81" si="27">L79*L80*12</f>
        <v>0</v>
      </c>
      <c r="M81" s="139">
        <f t="shared" ref="M81" si="28">M79*M80*12</f>
        <v>1440</v>
      </c>
      <c r="N81" s="139">
        <f t="shared" ref="N81" si="29">N79*N80*12</f>
        <v>1440</v>
      </c>
      <c r="O81" s="139">
        <f t="shared" ref="O81" si="30">O79*O80*12</f>
        <v>1440</v>
      </c>
      <c r="P81" s="139">
        <f t="shared" ref="P81" si="31">P79*P80*12</f>
        <v>1440</v>
      </c>
    </row>
    <row r="82" spans="1:16" ht="15.75" customHeight="1" outlineLevel="1" x14ac:dyDescent="0.15">
      <c r="A82" s="134"/>
      <c r="B82" s="4"/>
      <c r="C82" s="4"/>
      <c r="E82" s="14"/>
      <c r="K82" s="139"/>
      <c r="L82" s="139"/>
      <c r="M82" s="139"/>
      <c r="N82" s="139"/>
      <c r="O82" s="139"/>
      <c r="P82" s="139"/>
    </row>
    <row r="83" spans="1:16" ht="15.75" customHeight="1" outlineLevel="1" x14ac:dyDescent="0.15">
      <c r="A83" s="134"/>
      <c r="B83" s="4" t="s">
        <v>153</v>
      </c>
      <c r="C83" s="4"/>
      <c r="E83" s="14" t="s">
        <v>18</v>
      </c>
      <c r="K83" s="139">
        <f>K77+K81</f>
        <v>2400</v>
      </c>
      <c r="L83" s="139">
        <f t="shared" ref="L83:P83" si="32">L77+L81</f>
        <v>3600</v>
      </c>
      <c r="M83" s="139">
        <f t="shared" si="32"/>
        <v>3240</v>
      </c>
      <c r="N83" s="139">
        <f t="shared" si="32"/>
        <v>3240</v>
      </c>
      <c r="O83" s="139">
        <f t="shared" si="32"/>
        <v>3240</v>
      </c>
      <c r="P83" s="139">
        <f t="shared" si="32"/>
        <v>3240</v>
      </c>
    </row>
    <row r="84" spans="1:16" ht="15.75" customHeight="1" outlineLevel="1" x14ac:dyDescent="0.15">
      <c r="A84" s="134"/>
      <c r="B84" s="4"/>
      <c r="C84" s="4"/>
      <c r="E84" s="14"/>
      <c r="K84" s="106"/>
      <c r="L84" s="106"/>
      <c r="M84" s="106"/>
      <c r="N84" s="106"/>
      <c r="O84" s="106"/>
      <c r="P84" s="106"/>
    </row>
    <row r="85" spans="1:16" ht="15.75" customHeight="1" outlineLevel="1" x14ac:dyDescent="0.15">
      <c r="A85" s="134"/>
      <c r="B85" s="4" t="s">
        <v>154</v>
      </c>
      <c r="C85" s="4"/>
      <c r="E85" s="14" t="s">
        <v>18</v>
      </c>
      <c r="K85" s="126">
        <v>4000</v>
      </c>
      <c r="L85" s="126">
        <v>6000</v>
      </c>
      <c r="M85" s="126">
        <f>L85*(1+M39)</f>
        <v>6120</v>
      </c>
      <c r="N85" s="126">
        <f>M85*(1+N39)</f>
        <v>6242.4000000000005</v>
      </c>
      <c r="O85" s="126">
        <f>N85*(1+O39)</f>
        <v>6367.2480000000005</v>
      </c>
      <c r="P85" s="126">
        <f>O85*(1+P39)</f>
        <v>6494.5929600000009</v>
      </c>
    </row>
    <row r="86" spans="1:16" ht="15.75" customHeight="1" outlineLevel="1" x14ac:dyDescent="0.15">
      <c r="A86" s="134"/>
      <c r="B86" s="4"/>
      <c r="C86" s="4"/>
      <c r="E86" s="14"/>
      <c r="K86" s="129"/>
      <c r="L86" s="129"/>
      <c r="M86" s="129"/>
      <c r="N86" s="129"/>
      <c r="O86" s="129"/>
      <c r="P86" s="129"/>
    </row>
    <row r="87" spans="1:16" ht="15.75" customHeight="1" outlineLevel="1" x14ac:dyDescent="0.15">
      <c r="A87" s="134"/>
      <c r="B87" s="4" t="s">
        <v>146</v>
      </c>
      <c r="C87" s="4"/>
      <c r="E87" s="14" t="s">
        <v>18</v>
      </c>
      <c r="K87" s="130">
        <f>K72+K83+K85</f>
        <v>70900</v>
      </c>
      <c r="L87" s="130">
        <f t="shared" ref="L87:P87" si="33">L72+L83+L85</f>
        <v>74100</v>
      </c>
      <c r="M87" s="130">
        <f t="shared" si="33"/>
        <v>65160</v>
      </c>
      <c r="N87" s="130">
        <f t="shared" si="33"/>
        <v>128522.4</v>
      </c>
      <c r="O87" s="130">
        <f t="shared" si="33"/>
        <v>128647.24800000001</v>
      </c>
      <c r="P87" s="130">
        <f t="shared" si="33"/>
        <v>128774.59295999999</v>
      </c>
    </row>
    <row r="88" spans="1:16" ht="15.75" customHeight="1" outlineLevel="1" x14ac:dyDescent="0.15">
      <c r="A88" s="134"/>
      <c r="B88" s="4"/>
      <c r="C88" s="4"/>
      <c r="E88" s="14"/>
      <c r="K88" s="130"/>
      <c r="L88" s="130"/>
      <c r="M88" s="130"/>
      <c r="N88" s="130"/>
      <c r="O88" s="130"/>
      <c r="P88" s="130"/>
    </row>
    <row r="89" spans="1:16" ht="15.75" customHeight="1" x14ac:dyDescent="0.15">
      <c r="A89" s="134"/>
      <c r="B89" s="4"/>
      <c r="C89" s="4"/>
      <c r="E89" s="14"/>
      <c r="K89" s="130"/>
      <c r="L89" s="130"/>
      <c r="M89" s="130"/>
      <c r="N89" s="130"/>
      <c r="O89" s="130"/>
      <c r="P89" s="130"/>
    </row>
    <row r="90" spans="1:16" ht="15.75" customHeight="1" x14ac:dyDescent="0.15">
      <c r="A90" s="135"/>
      <c r="B90" s="113" t="s">
        <v>24</v>
      </c>
      <c r="C90" s="113"/>
      <c r="D90" s="113"/>
      <c r="E90" s="145"/>
      <c r="F90" s="113"/>
      <c r="G90" s="113"/>
      <c r="H90" s="113"/>
      <c r="I90" s="113"/>
      <c r="J90" s="113"/>
      <c r="K90" s="117"/>
      <c r="L90" s="117"/>
      <c r="M90" s="117"/>
      <c r="N90" s="117"/>
      <c r="O90" s="117"/>
      <c r="P90" s="117"/>
    </row>
    <row r="91" spans="1:16" ht="15.75" customHeight="1" outlineLevel="1" x14ac:dyDescent="0.15">
      <c r="A91" s="134"/>
      <c r="K91" s="57"/>
      <c r="L91" s="57"/>
      <c r="M91" s="57"/>
      <c r="N91" s="57"/>
      <c r="O91" s="57"/>
      <c r="P91" s="57"/>
    </row>
    <row r="92" spans="1:16" ht="15.75" customHeight="1" outlineLevel="1" x14ac:dyDescent="0.15">
      <c r="A92" s="134"/>
      <c r="B92" s="1" t="s">
        <v>9</v>
      </c>
      <c r="E92" s="14" t="s">
        <v>166</v>
      </c>
      <c r="K92" s="156">
        <f>K39</f>
        <v>0.02</v>
      </c>
      <c r="L92" s="157">
        <f t="shared" ref="L92:P92" si="34">L39</f>
        <v>0.05</v>
      </c>
      <c r="M92" s="157">
        <f t="shared" si="34"/>
        <v>0.02</v>
      </c>
      <c r="N92" s="157">
        <f t="shared" si="34"/>
        <v>0.02</v>
      </c>
      <c r="O92" s="157">
        <f t="shared" si="34"/>
        <v>0.02</v>
      </c>
      <c r="P92" s="158">
        <f t="shared" si="34"/>
        <v>0.02</v>
      </c>
    </row>
    <row r="93" spans="1:16" ht="15.75" customHeight="1" outlineLevel="1" x14ac:dyDescent="0.15">
      <c r="A93" s="134"/>
      <c r="B93" s="1" t="s">
        <v>178</v>
      </c>
      <c r="E93" s="14" t="s">
        <v>168</v>
      </c>
      <c r="K93" s="184">
        <f t="shared" ref="K93:P93" si="35">NETWORKDAYS(J2,K2)</f>
        <v>261</v>
      </c>
      <c r="L93" s="185">
        <f t="shared" si="35"/>
        <v>261</v>
      </c>
      <c r="M93" s="185">
        <f t="shared" si="35"/>
        <v>262</v>
      </c>
      <c r="N93" s="185">
        <f t="shared" si="35"/>
        <v>262</v>
      </c>
      <c r="O93" s="185">
        <f t="shared" si="35"/>
        <v>263</v>
      </c>
      <c r="P93" s="186">
        <f t="shared" si="35"/>
        <v>261</v>
      </c>
    </row>
    <row r="94" spans="1:16" ht="15.75" customHeight="1" outlineLevel="1" x14ac:dyDescent="0.15">
      <c r="A94" s="134"/>
      <c r="B94" s="9" t="s">
        <v>2</v>
      </c>
      <c r="D94" s="10"/>
      <c r="E94" s="175" t="s">
        <v>168</v>
      </c>
      <c r="F94" s="43"/>
      <c r="G94" s="124"/>
      <c r="H94" s="124"/>
      <c r="I94" s="124"/>
      <c r="J94" s="124"/>
      <c r="K94" s="159">
        <f>K37</f>
        <v>175</v>
      </c>
      <c r="L94" s="160">
        <f t="shared" ref="L94:P94" si="36">L37</f>
        <v>175</v>
      </c>
      <c r="M94" s="160">
        <f t="shared" si="36"/>
        <v>175</v>
      </c>
      <c r="N94" s="160">
        <f t="shared" si="36"/>
        <v>175</v>
      </c>
      <c r="O94" s="160">
        <f t="shared" si="36"/>
        <v>175</v>
      </c>
      <c r="P94" s="161">
        <f t="shared" si="36"/>
        <v>175</v>
      </c>
    </row>
    <row r="95" spans="1:16" ht="15.75" customHeight="1" outlineLevel="1" x14ac:dyDescent="0.15">
      <c r="A95" s="134"/>
      <c r="K95" s="150"/>
      <c r="L95" s="150"/>
      <c r="M95" s="150"/>
      <c r="N95" s="150"/>
      <c r="O95" s="150"/>
      <c r="P95" s="150"/>
    </row>
    <row r="96" spans="1:16" ht="15.75" customHeight="1" outlineLevel="1" x14ac:dyDescent="0.15">
      <c r="A96" s="134"/>
      <c r="B96" s="1" t="s">
        <v>159</v>
      </c>
      <c r="E96" s="14" t="s">
        <v>166</v>
      </c>
      <c r="K96" s="165">
        <v>5.9499999999999997E-2</v>
      </c>
      <c r="L96" s="166">
        <v>5.9499999999999997E-2</v>
      </c>
      <c r="M96" s="166">
        <v>5.9499999999999997E-2</v>
      </c>
      <c r="N96" s="166">
        <v>5.9499999999999997E-2</v>
      </c>
      <c r="O96" s="166">
        <v>5.9499999999999997E-2</v>
      </c>
      <c r="P96" s="167">
        <v>5.9499999999999997E-2</v>
      </c>
    </row>
    <row r="97" spans="1:16" ht="15.75" customHeight="1" outlineLevel="1" x14ac:dyDescent="0.15">
      <c r="A97" s="134"/>
      <c r="B97" s="1" t="s">
        <v>160</v>
      </c>
      <c r="E97" s="14" t="s">
        <v>167</v>
      </c>
      <c r="K97" s="168">
        <v>3867.5</v>
      </c>
      <c r="L97" s="163">
        <v>3867.5</v>
      </c>
      <c r="M97" s="163">
        <v>3867.5</v>
      </c>
      <c r="N97" s="163">
        <v>3867.5</v>
      </c>
      <c r="O97" s="163">
        <v>3867.5</v>
      </c>
      <c r="P97" s="169">
        <v>3867.5</v>
      </c>
    </row>
    <row r="98" spans="1:16" ht="15.75" customHeight="1" outlineLevel="1" x14ac:dyDescent="0.15">
      <c r="A98" s="134"/>
      <c r="B98" s="1" t="s">
        <v>161</v>
      </c>
      <c r="E98" s="14" t="s">
        <v>166</v>
      </c>
      <c r="K98" s="170">
        <v>2.3199999999999998E-2</v>
      </c>
      <c r="L98" s="164">
        <v>2.3199999999999998E-2</v>
      </c>
      <c r="M98" s="164">
        <v>2.3199999999999998E-2</v>
      </c>
      <c r="N98" s="164">
        <v>2.3199999999999998E-2</v>
      </c>
      <c r="O98" s="164">
        <v>2.3199999999999998E-2</v>
      </c>
      <c r="P98" s="171">
        <v>2.3199999999999998E-2</v>
      </c>
    </row>
    <row r="99" spans="1:16" ht="15.75" customHeight="1" outlineLevel="1" x14ac:dyDescent="0.15">
      <c r="A99" s="134"/>
      <c r="B99" s="1" t="s">
        <v>162</v>
      </c>
      <c r="E99" s="14" t="s">
        <v>167</v>
      </c>
      <c r="K99" s="168">
        <f>K98*63200</f>
        <v>1466.24</v>
      </c>
      <c r="L99" s="163">
        <f t="shared" ref="L99:P99" si="37">L98*63200</f>
        <v>1466.24</v>
      </c>
      <c r="M99" s="163">
        <f t="shared" si="37"/>
        <v>1466.24</v>
      </c>
      <c r="N99" s="163">
        <f t="shared" si="37"/>
        <v>1466.24</v>
      </c>
      <c r="O99" s="163">
        <f t="shared" si="37"/>
        <v>1466.24</v>
      </c>
      <c r="P99" s="169">
        <f t="shared" si="37"/>
        <v>1466.24</v>
      </c>
    </row>
    <row r="100" spans="1:16" ht="15.75" customHeight="1" outlineLevel="1" x14ac:dyDescent="0.15">
      <c r="A100" s="134"/>
      <c r="B100" s="1" t="s">
        <v>105</v>
      </c>
      <c r="E100" s="14" t="s">
        <v>166</v>
      </c>
      <c r="K100" s="170">
        <v>1.14E-2</v>
      </c>
      <c r="L100" s="164">
        <v>1.23E-2</v>
      </c>
      <c r="M100" s="164">
        <v>1.23E-2</v>
      </c>
      <c r="N100" s="164">
        <v>1.23E-2</v>
      </c>
      <c r="O100" s="164">
        <v>1.23E-2</v>
      </c>
      <c r="P100" s="171">
        <v>1.23E-2</v>
      </c>
    </row>
    <row r="101" spans="1:16" ht="15.75" customHeight="1" outlineLevel="1" x14ac:dyDescent="0.15">
      <c r="A101" s="134"/>
      <c r="B101" s="1" t="s">
        <v>163</v>
      </c>
      <c r="E101" s="14" t="s">
        <v>167</v>
      </c>
      <c r="K101" s="168">
        <f>K100*112800</f>
        <v>1285.92</v>
      </c>
      <c r="L101" s="163">
        <f t="shared" ref="L101:P101" si="38">L100*112800</f>
        <v>1387.44</v>
      </c>
      <c r="M101" s="163">
        <f t="shared" si="38"/>
        <v>1387.44</v>
      </c>
      <c r="N101" s="163">
        <f t="shared" si="38"/>
        <v>1387.44</v>
      </c>
      <c r="O101" s="163">
        <f t="shared" si="38"/>
        <v>1387.44</v>
      </c>
      <c r="P101" s="169">
        <f t="shared" si="38"/>
        <v>1387.44</v>
      </c>
    </row>
    <row r="102" spans="1:16" ht="15.75" customHeight="1" outlineLevel="1" x14ac:dyDescent="0.15">
      <c r="A102" s="134"/>
      <c r="B102" s="1" t="s">
        <v>164</v>
      </c>
      <c r="E102" s="14" t="s">
        <v>166</v>
      </c>
      <c r="K102" s="170">
        <v>0.06</v>
      </c>
      <c r="L102" s="164">
        <v>0.06</v>
      </c>
      <c r="M102" s="164">
        <v>0.06</v>
      </c>
      <c r="N102" s="164">
        <v>0.06</v>
      </c>
      <c r="O102" s="164">
        <v>0.06</v>
      </c>
      <c r="P102" s="171">
        <v>0.06</v>
      </c>
    </row>
    <row r="103" spans="1:16" ht="15.75" customHeight="1" outlineLevel="1" x14ac:dyDescent="0.15">
      <c r="A103" s="134"/>
      <c r="B103" s="1" t="s">
        <v>165</v>
      </c>
      <c r="E103" s="14" t="s">
        <v>166</v>
      </c>
      <c r="K103" s="170">
        <v>0.04</v>
      </c>
      <c r="L103" s="164">
        <v>0.04</v>
      </c>
      <c r="M103" s="164">
        <v>0.04</v>
      </c>
      <c r="N103" s="164">
        <v>0.04</v>
      </c>
      <c r="O103" s="164">
        <v>0.04</v>
      </c>
      <c r="P103" s="171">
        <v>0.04</v>
      </c>
    </row>
    <row r="104" spans="1:16" ht="15.75" customHeight="1" outlineLevel="1" x14ac:dyDescent="0.15">
      <c r="A104" s="134"/>
      <c r="B104" s="1" t="s">
        <v>106</v>
      </c>
      <c r="E104" s="14" t="s">
        <v>166</v>
      </c>
      <c r="K104" s="172">
        <f>12455.64/351262.57</f>
        <v>3.545962782200221E-2</v>
      </c>
      <c r="L104" s="173">
        <f t="shared" ref="L104:P104" si="39">12455.64/351262.57</f>
        <v>3.545962782200221E-2</v>
      </c>
      <c r="M104" s="173">
        <f t="shared" si="39"/>
        <v>3.545962782200221E-2</v>
      </c>
      <c r="N104" s="173">
        <f t="shared" si="39"/>
        <v>3.545962782200221E-2</v>
      </c>
      <c r="O104" s="173">
        <f t="shared" si="39"/>
        <v>3.545962782200221E-2</v>
      </c>
      <c r="P104" s="174">
        <f t="shared" si="39"/>
        <v>3.545962782200221E-2</v>
      </c>
    </row>
    <row r="105" spans="1:16" ht="15.75" customHeight="1" outlineLevel="1" x14ac:dyDescent="0.15">
      <c r="A105" s="134"/>
      <c r="K105" s="150"/>
      <c r="L105" s="150"/>
      <c r="M105" s="150"/>
      <c r="N105" s="150"/>
      <c r="O105" s="150"/>
      <c r="P105" s="150"/>
    </row>
    <row r="106" spans="1:16" ht="15.75" customHeight="1" outlineLevel="1" x14ac:dyDescent="0.15">
      <c r="A106" s="134"/>
      <c r="B106" s="4" t="s">
        <v>169</v>
      </c>
      <c r="F106" s="3" t="s">
        <v>108</v>
      </c>
      <c r="G106" s="3" t="s">
        <v>173</v>
      </c>
      <c r="H106" s="191"/>
      <c r="K106" s="150"/>
      <c r="L106" s="150"/>
      <c r="M106" s="150"/>
      <c r="N106" s="150"/>
      <c r="O106" s="150"/>
      <c r="P106" s="150"/>
    </row>
    <row r="107" spans="1:16" ht="15.75" customHeight="1" outlineLevel="1" x14ac:dyDescent="0.15">
      <c r="A107" s="134"/>
      <c r="C107" s="2" t="s">
        <v>110</v>
      </c>
      <c r="F107" s="180" t="s">
        <v>171</v>
      </c>
      <c r="G107" s="181">
        <v>8</v>
      </c>
      <c r="H107" s="192"/>
      <c r="K107" s="179">
        <v>1</v>
      </c>
      <c r="L107" s="179">
        <v>1</v>
      </c>
      <c r="M107" s="179">
        <v>1</v>
      </c>
      <c r="N107" s="179">
        <v>1</v>
      </c>
      <c r="O107" s="179">
        <v>1</v>
      </c>
      <c r="P107" s="179">
        <v>1</v>
      </c>
    </row>
    <row r="108" spans="1:16" ht="15.75" customHeight="1" outlineLevel="1" x14ac:dyDescent="0.15">
      <c r="A108" s="134"/>
      <c r="C108" s="2" t="s">
        <v>187</v>
      </c>
      <c r="F108" s="180" t="s">
        <v>171</v>
      </c>
      <c r="G108" s="181">
        <v>8</v>
      </c>
      <c r="H108" s="192"/>
      <c r="K108" s="179">
        <v>0</v>
      </c>
      <c r="L108" s="179">
        <v>0.9</v>
      </c>
      <c r="M108" s="179">
        <v>1</v>
      </c>
      <c r="N108" s="179">
        <v>0</v>
      </c>
      <c r="O108" s="179">
        <v>0</v>
      </c>
      <c r="P108" s="179">
        <v>0</v>
      </c>
    </row>
    <row r="109" spans="1:16" ht="15.75" customHeight="1" outlineLevel="1" x14ac:dyDescent="0.15">
      <c r="A109" s="134"/>
      <c r="C109" s="2" t="s">
        <v>174</v>
      </c>
      <c r="F109" s="180" t="s">
        <v>171</v>
      </c>
      <c r="G109" s="181">
        <v>8</v>
      </c>
      <c r="H109" s="192"/>
      <c r="K109" s="179">
        <v>0</v>
      </c>
      <c r="L109" s="179">
        <v>0</v>
      </c>
      <c r="M109" s="179">
        <v>0.4</v>
      </c>
      <c r="N109" s="179">
        <v>0.4</v>
      </c>
      <c r="O109" s="179">
        <v>1</v>
      </c>
      <c r="P109" s="179">
        <v>1</v>
      </c>
    </row>
    <row r="110" spans="1:16" ht="15.75" customHeight="1" outlineLevel="1" x14ac:dyDescent="0.15">
      <c r="A110" s="134"/>
      <c r="C110" s="2" t="s">
        <v>188</v>
      </c>
      <c r="F110" s="180" t="s">
        <v>171</v>
      </c>
      <c r="G110" s="181">
        <v>8</v>
      </c>
      <c r="H110" s="192"/>
      <c r="K110" s="179">
        <v>1</v>
      </c>
      <c r="L110" s="179">
        <v>1</v>
      </c>
      <c r="M110" s="179">
        <v>1</v>
      </c>
      <c r="N110" s="179">
        <v>1</v>
      </c>
      <c r="O110" s="179">
        <v>1</v>
      </c>
      <c r="P110" s="179">
        <v>1</v>
      </c>
    </row>
    <row r="111" spans="1:16" ht="15.75" customHeight="1" outlineLevel="1" x14ac:dyDescent="0.15">
      <c r="A111" s="134"/>
      <c r="C111" s="2" t="s">
        <v>111</v>
      </c>
      <c r="F111" s="180" t="s">
        <v>171</v>
      </c>
      <c r="G111" s="181">
        <v>7</v>
      </c>
      <c r="H111" s="192"/>
      <c r="K111" s="179">
        <v>3.2</v>
      </c>
      <c r="L111" s="179">
        <v>4.5</v>
      </c>
      <c r="M111" s="179">
        <v>5.5</v>
      </c>
      <c r="N111" s="179">
        <v>7</v>
      </c>
      <c r="O111" s="179">
        <v>10</v>
      </c>
      <c r="P111" s="179">
        <v>10</v>
      </c>
    </row>
    <row r="112" spans="1:16" ht="15.75" customHeight="1" outlineLevel="1" x14ac:dyDescent="0.15">
      <c r="A112" s="134"/>
      <c r="C112" s="2" t="s">
        <v>107</v>
      </c>
      <c r="F112" s="180" t="s">
        <v>172</v>
      </c>
      <c r="G112" s="181">
        <v>6.5</v>
      </c>
      <c r="H112" s="192"/>
      <c r="K112" s="179">
        <v>1.95</v>
      </c>
      <c r="L112" s="179">
        <v>2.7</v>
      </c>
      <c r="M112" s="179">
        <v>2.5</v>
      </c>
      <c r="N112" s="179">
        <v>3</v>
      </c>
      <c r="O112" s="179">
        <v>3</v>
      </c>
      <c r="P112" s="179">
        <v>3</v>
      </c>
    </row>
    <row r="113" spans="1:16" ht="15.75" customHeight="1" outlineLevel="1" x14ac:dyDescent="0.15">
      <c r="A113" s="134"/>
      <c r="C113" s="2" t="s">
        <v>170</v>
      </c>
      <c r="F113" s="180" t="s">
        <v>171</v>
      </c>
      <c r="G113" s="181">
        <v>8</v>
      </c>
      <c r="H113" s="192"/>
      <c r="K113" s="182">
        <v>0.8</v>
      </c>
      <c r="L113" s="182">
        <v>1.9</v>
      </c>
      <c r="M113" s="182">
        <v>1.6</v>
      </c>
      <c r="N113" s="182">
        <v>1.6</v>
      </c>
      <c r="O113" s="182">
        <v>2</v>
      </c>
      <c r="P113" s="182">
        <v>2</v>
      </c>
    </row>
    <row r="114" spans="1:16" ht="15.75" customHeight="1" outlineLevel="1" x14ac:dyDescent="0.15">
      <c r="A114" s="134"/>
      <c r="C114" s="4" t="s">
        <v>175</v>
      </c>
      <c r="E114" s="14" t="s">
        <v>176</v>
      </c>
      <c r="K114" s="183">
        <f>SUM(K107:K113)</f>
        <v>7.95</v>
      </c>
      <c r="L114" s="183">
        <f t="shared" ref="L114:P114" si="40">SUM(L107:L113)</f>
        <v>12.000000000000002</v>
      </c>
      <c r="M114" s="183">
        <f t="shared" si="40"/>
        <v>13</v>
      </c>
      <c r="N114" s="183">
        <f t="shared" si="40"/>
        <v>14</v>
      </c>
      <c r="O114" s="183">
        <f t="shared" si="40"/>
        <v>18</v>
      </c>
      <c r="P114" s="183">
        <f t="shared" si="40"/>
        <v>18</v>
      </c>
    </row>
    <row r="115" spans="1:16" ht="15.75" customHeight="1" outlineLevel="1" x14ac:dyDescent="0.15">
      <c r="A115" s="134"/>
      <c r="B115" s="4"/>
      <c r="K115" s="150"/>
      <c r="L115" s="150"/>
      <c r="M115" s="150"/>
      <c r="N115" s="150"/>
      <c r="O115" s="150"/>
      <c r="P115" s="150"/>
    </row>
    <row r="116" spans="1:16" ht="15.75" customHeight="1" outlineLevel="1" x14ac:dyDescent="0.15">
      <c r="A116" s="134"/>
      <c r="B116" s="4" t="s">
        <v>109</v>
      </c>
      <c r="K116" s="162"/>
      <c r="L116" s="150"/>
      <c r="M116" s="150"/>
      <c r="N116" s="150"/>
      <c r="O116" s="150"/>
      <c r="P116" s="150"/>
    </row>
    <row r="117" spans="1:16" ht="15.75" customHeight="1" outlineLevel="1" x14ac:dyDescent="0.15">
      <c r="A117" s="134"/>
      <c r="C117" s="1" t="str">
        <f>C107</f>
        <v>ED</v>
      </c>
      <c r="K117" s="188">
        <v>35</v>
      </c>
      <c r="L117" s="188">
        <v>40</v>
      </c>
      <c r="M117" s="188">
        <v>40.200000000000003</v>
      </c>
      <c r="N117" s="188">
        <f>1.04*M117</f>
        <v>41.808000000000007</v>
      </c>
      <c r="O117" s="188">
        <f t="shared" ref="O117:P117" si="41">1.04*N117</f>
        <v>43.480320000000006</v>
      </c>
      <c r="P117" s="188">
        <f t="shared" si="41"/>
        <v>45.21953280000001</v>
      </c>
    </row>
    <row r="118" spans="1:16" ht="15.75" customHeight="1" outlineLevel="1" x14ac:dyDescent="0.15">
      <c r="A118" s="134"/>
      <c r="C118" s="1" t="str">
        <f t="shared" ref="C118:C123" si="42">C108</f>
        <v>Operations Manager</v>
      </c>
      <c r="K118" s="188">
        <v>0</v>
      </c>
      <c r="L118" s="188">
        <v>28.5</v>
      </c>
      <c r="M118" s="188">
        <v>0</v>
      </c>
      <c r="N118" s="188">
        <v>0</v>
      </c>
      <c r="O118" s="188">
        <v>0</v>
      </c>
      <c r="P118" s="188">
        <v>0</v>
      </c>
    </row>
    <row r="119" spans="1:16" ht="15.75" customHeight="1" outlineLevel="1" x14ac:dyDescent="0.15">
      <c r="A119" s="134"/>
      <c r="C119" s="1" t="str">
        <f t="shared" si="42"/>
        <v>Administrative Assistant</v>
      </c>
      <c r="K119" s="188">
        <v>0</v>
      </c>
      <c r="L119" s="188">
        <v>28</v>
      </c>
      <c r="M119" s="188">
        <v>29.86</v>
      </c>
      <c r="N119" s="188">
        <f t="shared" ref="N119:P123" si="43">1.04*M119</f>
        <v>31.054400000000001</v>
      </c>
      <c r="O119" s="188">
        <f t="shared" si="43"/>
        <v>32.296576000000002</v>
      </c>
      <c r="P119" s="188">
        <f t="shared" si="43"/>
        <v>33.588439040000004</v>
      </c>
    </row>
    <row r="120" spans="1:16" ht="15.75" customHeight="1" outlineLevel="1" x14ac:dyDescent="0.15">
      <c r="A120" s="134"/>
      <c r="C120" s="1" t="str">
        <f t="shared" si="42"/>
        <v>Executive Chef</v>
      </c>
      <c r="K120" s="188">
        <v>35</v>
      </c>
      <c r="L120" s="188">
        <v>38</v>
      </c>
      <c r="M120" s="188">
        <v>40.200000000000003</v>
      </c>
      <c r="N120" s="188">
        <f t="shared" si="43"/>
        <v>41.808000000000007</v>
      </c>
      <c r="O120" s="188">
        <f t="shared" si="43"/>
        <v>43.480320000000006</v>
      </c>
      <c r="P120" s="188">
        <f t="shared" si="43"/>
        <v>45.21953280000001</v>
      </c>
    </row>
    <row r="121" spans="1:16" ht="15.75" customHeight="1" outlineLevel="1" x14ac:dyDescent="0.15">
      <c r="A121" s="134"/>
      <c r="C121" s="1" t="str">
        <f t="shared" si="42"/>
        <v>Project Chef</v>
      </c>
      <c r="K121" s="188">
        <v>25</v>
      </c>
      <c r="L121" s="188">
        <v>27</v>
      </c>
      <c r="M121" s="188">
        <v>28.71</v>
      </c>
      <c r="N121" s="188">
        <f t="shared" si="43"/>
        <v>29.858400000000003</v>
      </c>
      <c r="O121" s="188">
        <f t="shared" si="43"/>
        <v>31.052736000000003</v>
      </c>
      <c r="P121" s="188">
        <f t="shared" si="43"/>
        <v>32.294845440000003</v>
      </c>
    </row>
    <row r="122" spans="1:16" ht="15.75" customHeight="1" outlineLevel="1" x14ac:dyDescent="0.15">
      <c r="A122" s="134"/>
      <c r="C122" s="1" t="str">
        <f t="shared" si="42"/>
        <v>Driver</v>
      </c>
      <c r="K122" s="188">
        <v>23</v>
      </c>
      <c r="L122" s="188">
        <v>25.4</v>
      </c>
      <c r="M122" s="188">
        <v>26.42</v>
      </c>
      <c r="N122" s="188">
        <f t="shared" si="43"/>
        <v>27.476800000000004</v>
      </c>
      <c r="O122" s="188">
        <f t="shared" si="43"/>
        <v>28.575872000000004</v>
      </c>
      <c r="P122" s="188">
        <f t="shared" si="43"/>
        <v>29.718906880000006</v>
      </c>
    </row>
    <row r="123" spans="1:16" ht="15.75" customHeight="1" outlineLevel="1" x14ac:dyDescent="0.15">
      <c r="A123" s="134"/>
      <c r="C123" s="1" t="str">
        <f t="shared" si="42"/>
        <v>Garden Coordinator</v>
      </c>
      <c r="J123" s="187"/>
      <c r="K123" s="188">
        <v>26</v>
      </c>
      <c r="L123" s="188">
        <v>28.5</v>
      </c>
      <c r="M123" s="188">
        <v>29.86</v>
      </c>
      <c r="N123" s="188">
        <f t="shared" si="43"/>
        <v>31.054400000000001</v>
      </c>
      <c r="O123" s="188">
        <f t="shared" si="43"/>
        <v>32.296576000000002</v>
      </c>
      <c r="P123" s="188">
        <f t="shared" si="43"/>
        <v>33.588439040000004</v>
      </c>
    </row>
    <row r="124" spans="1:16" ht="15.75" customHeight="1" outlineLevel="1" x14ac:dyDescent="0.15">
      <c r="A124" s="134"/>
      <c r="C124" s="4"/>
      <c r="K124" s="150"/>
      <c r="L124" s="150"/>
      <c r="M124" s="150"/>
      <c r="N124" s="150"/>
      <c r="O124" s="150"/>
      <c r="P124" s="150"/>
    </row>
    <row r="125" spans="1:16" ht="15.75" customHeight="1" outlineLevel="1" x14ac:dyDescent="0.15">
      <c r="A125" s="134"/>
      <c r="K125" s="150"/>
      <c r="L125" s="150"/>
      <c r="M125" s="150"/>
      <c r="N125" s="150"/>
      <c r="O125" s="150"/>
      <c r="P125" s="150"/>
    </row>
    <row r="126" spans="1:16" ht="15.75" customHeight="1" outlineLevel="1" x14ac:dyDescent="0.15">
      <c r="A126" s="134"/>
      <c r="B126" s="4" t="s">
        <v>179</v>
      </c>
      <c r="K126" s="162"/>
      <c r="L126" s="150"/>
      <c r="M126" s="150"/>
      <c r="N126" s="150"/>
      <c r="O126" s="150"/>
      <c r="P126" s="150"/>
    </row>
    <row r="127" spans="1:16" ht="15.75" customHeight="1" outlineLevel="1" x14ac:dyDescent="0.15">
      <c r="A127" s="134"/>
      <c r="C127" s="1" t="str">
        <f>C117</f>
        <v>ED</v>
      </c>
      <c r="K127" s="190">
        <f>IF($F107="Y",K107*K$93*$G107*K117,K107*K$94*$G107*K117)</f>
        <v>73080</v>
      </c>
      <c r="L127" s="190">
        <f t="shared" ref="L127:P127" si="44">IF($F107="Y",L107*L$93*$G107*L117,L107*L$94*$G107*L117)</f>
        <v>83520</v>
      </c>
      <c r="M127" s="190">
        <f t="shared" si="44"/>
        <v>84259.200000000012</v>
      </c>
      <c r="N127" s="190">
        <f t="shared" si="44"/>
        <v>87629.568000000014</v>
      </c>
      <c r="O127" s="190">
        <f t="shared" si="44"/>
        <v>91482.593280000016</v>
      </c>
      <c r="P127" s="190">
        <f t="shared" si="44"/>
        <v>94418.384486400028</v>
      </c>
    </row>
    <row r="128" spans="1:16" ht="15.75" customHeight="1" outlineLevel="1" x14ac:dyDescent="0.15">
      <c r="A128" s="134"/>
      <c r="C128" s="1" t="str">
        <f t="shared" ref="C128:C133" si="45">C118</f>
        <v>Operations Manager</v>
      </c>
      <c r="K128" s="190">
        <f t="shared" ref="K128:P133" si="46">IF($F108="Y",K108*K$93*$G108*K118,K108*K$94*$G108*K118)</f>
        <v>0</v>
      </c>
      <c r="L128" s="190">
        <f t="shared" si="46"/>
        <v>53557.200000000004</v>
      </c>
      <c r="M128" s="190">
        <f t="shared" si="46"/>
        <v>0</v>
      </c>
      <c r="N128" s="190">
        <f t="shared" si="46"/>
        <v>0</v>
      </c>
      <c r="O128" s="190">
        <f t="shared" si="46"/>
        <v>0</v>
      </c>
      <c r="P128" s="190">
        <f t="shared" si="46"/>
        <v>0</v>
      </c>
    </row>
    <row r="129" spans="1:16" ht="15.75" customHeight="1" outlineLevel="1" x14ac:dyDescent="0.15">
      <c r="A129" s="134"/>
      <c r="C129" s="1" t="str">
        <f t="shared" si="45"/>
        <v>Administrative Assistant</v>
      </c>
      <c r="K129" s="190">
        <f t="shared" si="46"/>
        <v>0</v>
      </c>
      <c r="L129" s="190">
        <f t="shared" si="46"/>
        <v>0</v>
      </c>
      <c r="M129" s="190">
        <f t="shared" si="46"/>
        <v>25034.624000000003</v>
      </c>
      <c r="N129" s="190">
        <f t="shared" si="46"/>
        <v>26036.008960000003</v>
      </c>
      <c r="O129" s="190">
        <f t="shared" si="46"/>
        <v>67951.99590400001</v>
      </c>
      <c r="P129" s="190">
        <f t="shared" si="46"/>
        <v>70132.660715520004</v>
      </c>
    </row>
    <row r="130" spans="1:16" ht="15.75" customHeight="1" outlineLevel="1" x14ac:dyDescent="0.15">
      <c r="A130" s="134"/>
      <c r="C130" s="1" t="str">
        <f t="shared" si="45"/>
        <v>Executive Chef</v>
      </c>
      <c r="K130" s="190">
        <f t="shared" si="46"/>
        <v>73080</v>
      </c>
      <c r="L130" s="190">
        <f t="shared" si="46"/>
        <v>79344</v>
      </c>
      <c r="M130" s="190">
        <f t="shared" si="46"/>
        <v>84259.200000000012</v>
      </c>
      <c r="N130" s="190">
        <f t="shared" si="46"/>
        <v>87629.568000000014</v>
      </c>
      <c r="O130" s="190">
        <f t="shared" si="46"/>
        <v>91482.593280000016</v>
      </c>
      <c r="P130" s="190">
        <f t="shared" si="46"/>
        <v>94418.384486400028</v>
      </c>
    </row>
    <row r="131" spans="1:16" ht="15.75" customHeight="1" outlineLevel="1" x14ac:dyDescent="0.15">
      <c r="A131" s="134"/>
      <c r="C131" s="1" t="str">
        <f t="shared" si="45"/>
        <v>Project Chef</v>
      </c>
      <c r="K131" s="190">
        <f t="shared" si="46"/>
        <v>146160</v>
      </c>
      <c r="L131" s="190">
        <f t="shared" si="46"/>
        <v>221980.5</v>
      </c>
      <c r="M131" s="190">
        <f t="shared" si="46"/>
        <v>289597.77</v>
      </c>
      <c r="N131" s="190">
        <f t="shared" si="46"/>
        <v>383322.13920000003</v>
      </c>
      <c r="O131" s="190">
        <f t="shared" si="46"/>
        <v>571680.86976000003</v>
      </c>
      <c r="P131" s="190">
        <f t="shared" si="46"/>
        <v>590026.82618880004</v>
      </c>
    </row>
    <row r="132" spans="1:16" ht="15.75" customHeight="1" outlineLevel="1" x14ac:dyDescent="0.15">
      <c r="A132" s="134"/>
      <c r="C132" s="1" t="str">
        <f t="shared" si="45"/>
        <v>Driver</v>
      </c>
      <c r="K132" s="190">
        <f t="shared" si="46"/>
        <v>51016.875</v>
      </c>
      <c r="L132" s="190">
        <f t="shared" si="46"/>
        <v>78009.75</v>
      </c>
      <c r="M132" s="190">
        <f t="shared" si="46"/>
        <v>75131.875</v>
      </c>
      <c r="N132" s="190">
        <f t="shared" si="46"/>
        <v>93764.580000000016</v>
      </c>
      <c r="O132" s="190">
        <f t="shared" si="46"/>
        <v>97515.16320000001</v>
      </c>
      <c r="P132" s="190">
        <f t="shared" si="46"/>
        <v>101415.76972800001</v>
      </c>
    </row>
    <row r="133" spans="1:16" ht="15.75" customHeight="1" outlineLevel="1" x14ac:dyDescent="0.15">
      <c r="A133" s="134"/>
      <c r="C133" s="1" t="str">
        <f t="shared" si="45"/>
        <v>Garden Coordinator</v>
      </c>
      <c r="J133" s="187"/>
      <c r="K133" s="190">
        <f t="shared" si="46"/>
        <v>43430.400000000001</v>
      </c>
      <c r="L133" s="190">
        <f t="shared" si="46"/>
        <v>113065.2</v>
      </c>
      <c r="M133" s="190">
        <f t="shared" si="46"/>
        <v>100138.49600000001</v>
      </c>
      <c r="N133" s="190">
        <f t="shared" si="46"/>
        <v>104144.03584000001</v>
      </c>
      <c r="O133" s="190">
        <f t="shared" si="46"/>
        <v>135903.99180800002</v>
      </c>
      <c r="P133" s="190">
        <f t="shared" si="46"/>
        <v>140265.32143104001</v>
      </c>
    </row>
    <row r="134" spans="1:16" ht="15.75" customHeight="1" outlineLevel="1" x14ac:dyDescent="0.15">
      <c r="A134" s="134"/>
      <c r="C134" s="4" t="s">
        <v>177</v>
      </c>
      <c r="E134" s="14" t="s">
        <v>138</v>
      </c>
      <c r="K134" s="193">
        <f>SUM(K127:K133)</f>
        <v>386767.27500000002</v>
      </c>
      <c r="L134" s="193">
        <f t="shared" ref="L134:P134" si="47">SUM(L127:L133)</f>
        <v>629476.65</v>
      </c>
      <c r="M134" s="193">
        <f t="shared" si="47"/>
        <v>658421.16500000004</v>
      </c>
      <c r="N134" s="193">
        <f t="shared" si="47"/>
        <v>782525.90000000014</v>
      </c>
      <c r="O134" s="193">
        <f t="shared" si="47"/>
        <v>1056017.2072320001</v>
      </c>
      <c r="P134" s="193">
        <f t="shared" si="47"/>
        <v>1090677.3470361601</v>
      </c>
    </row>
    <row r="135" spans="1:16" ht="15.75" customHeight="1" outlineLevel="1" x14ac:dyDescent="0.15">
      <c r="A135" s="134"/>
      <c r="K135" s="150"/>
      <c r="L135" s="150"/>
      <c r="M135" s="150"/>
      <c r="N135" s="150"/>
      <c r="O135" s="150"/>
      <c r="P135" s="150"/>
    </row>
    <row r="136" spans="1:16" ht="15.75" customHeight="1" outlineLevel="1" x14ac:dyDescent="0.15">
      <c r="A136" s="134"/>
      <c r="B136" s="4" t="s">
        <v>158</v>
      </c>
      <c r="K136" s="150"/>
      <c r="L136" s="150"/>
      <c r="M136" s="150"/>
      <c r="N136" s="150"/>
      <c r="O136" s="150"/>
      <c r="P136" s="150"/>
    </row>
    <row r="137" spans="1:16" ht="15.75" customHeight="1" outlineLevel="1" x14ac:dyDescent="0.15">
      <c r="A137" s="134"/>
      <c r="C137" s="1" t="str">
        <f>C127</f>
        <v>ED</v>
      </c>
      <c r="K137" s="189">
        <f>MIN(K127*K$96,K97)+MIN(K127*K$98,K$99)+MIN(K127*K$100,K101)+K127*K$104</f>
        <v>8758.2416012319209</v>
      </c>
      <c r="L137" s="189">
        <f t="shared" ref="L137:P137" si="48">MIN(L127*L$96,L97)+MIN(L127*L$98,L$99)+MIN(L127*L$100,L101)+L127*L$104</f>
        <v>9322.6241156936248</v>
      </c>
      <c r="M137" s="189">
        <f t="shared" si="48"/>
        <v>9357.9280325796499</v>
      </c>
      <c r="N137" s="189">
        <f t="shared" si="48"/>
        <v>9518.8955538828359</v>
      </c>
      <c r="O137" s="189">
        <f t="shared" si="48"/>
        <v>9702.9146072444019</v>
      </c>
      <c r="P137" s="189">
        <f t="shared" si="48"/>
        <v>9843.1269026251721</v>
      </c>
    </row>
    <row r="138" spans="1:16" ht="15.75" customHeight="1" outlineLevel="1" x14ac:dyDescent="0.15">
      <c r="A138" s="134"/>
      <c r="C138" s="1" t="str">
        <f t="shared" ref="C138:C143" si="49">C128</f>
        <v>Operations Manager</v>
      </c>
      <c r="K138" s="189">
        <f t="shared" ref="K138:P138" si="50">MIN(K128*K$96,K98)+MIN(K128*K$98,K$99)+MIN(K128*K$100,K102)+K128*K$104</f>
        <v>0</v>
      </c>
      <c r="L138" s="189">
        <f t="shared" si="50"/>
        <v>3141.7286191885369</v>
      </c>
      <c r="M138" s="189">
        <f t="shared" si="50"/>
        <v>0</v>
      </c>
      <c r="N138" s="189">
        <f t="shared" si="50"/>
        <v>0</v>
      </c>
      <c r="O138" s="189">
        <f t="shared" si="50"/>
        <v>0</v>
      </c>
      <c r="P138" s="189">
        <f t="shared" si="50"/>
        <v>0</v>
      </c>
    </row>
    <row r="139" spans="1:16" ht="15.75" customHeight="1" outlineLevel="1" x14ac:dyDescent="0.15">
      <c r="A139" s="134"/>
      <c r="C139" s="1" t="str">
        <f t="shared" si="49"/>
        <v>Administrative Assistant</v>
      </c>
      <c r="K139" s="189">
        <f t="shared" ref="K139:P139" si="51">MIN(K129*K$96,K99)+MIN(K129*K$98,K$99)+MIN(K129*K$100,K103)+K129*K$104</f>
        <v>0</v>
      </c>
      <c r="L139" s="189">
        <f t="shared" si="51"/>
        <v>0</v>
      </c>
      <c r="M139" s="189">
        <f t="shared" si="51"/>
        <v>2934.8017265037643</v>
      </c>
      <c r="N139" s="189">
        <f t="shared" si="51"/>
        <v>2993.5425955639148</v>
      </c>
      <c r="O139" s="189">
        <f t="shared" si="51"/>
        <v>5342.0724845180594</v>
      </c>
      <c r="P139" s="189">
        <f t="shared" si="51"/>
        <v>5419.3980471390951</v>
      </c>
    </row>
    <row r="140" spans="1:16" ht="15.75" customHeight="1" outlineLevel="1" x14ac:dyDescent="0.15">
      <c r="A140" s="134"/>
      <c r="C140" s="1" t="str">
        <f t="shared" si="49"/>
        <v>Executive Chef</v>
      </c>
      <c r="K140" s="189">
        <f t="shared" ref="K140:P140" si="52">MIN(K130*K$96,K100)+MIN(K130*K$98,K$99)+MIN(K130*K$100,K104)+K130*K$104</f>
        <v>4057.6764608597437</v>
      </c>
      <c r="L140" s="189">
        <f t="shared" si="52"/>
        <v>4279.7964695367655</v>
      </c>
      <c r="M140" s="189">
        <f t="shared" si="52"/>
        <v>4454.087632207471</v>
      </c>
      <c r="N140" s="189">
        <f t="shared" si="52"/>
        <v>4573.5996271106578</v>
      </c>
      <c r="O140" s="189">
        <f t="shared" si="52"/>
        <v>4710.2264695282229</v>
      </c>
      <c r="P140" s="189">
        <f t="shared" si="52"/>
        <v>4814.3285330702747</v>
      </c>
    </row>
    <row r="141" spans="1:16" ht="15.75" customHeight="1" outlineLevel="1" x14ac:dyDescent="0.15">
      <c r="A141" s="134"/>
      <c r="C141" s="1" t="str">
        <f t="shared" si="49"/>
        <v>Project Chef</v>
      </c>
      <c r="K141" s="189">
        <f t="shared" ref="K141:P141" si="53">MIN(K131*K$96,K101)+MIN(K131*K$98,K$99)+MIN(K131*K$100,K105)+K131*K$104</f>
        <v>9601.163202463842</v>
      </c>
      <c r="L141" s="189">
        <f t="shared" si="53"/>
        <v>13455.386063741962</v>
      </c>
      <c r="M141" s="189">
        <f t="shared" si="53"/>
        <v>16684.761713281798</v>
      </c>
      <c r="N141" s="189">
        <f t="shared" si="53"/>
        <v>21161.002704125727</v>
      </c>
      <c r="O141" s="189">
        <f t="shared" si="53"/>
        <v>30156.945572696117</v>
      </c>
      <c r="P141" s="189">
        <f t="shared" si="53"/>
        <v>31033.141623774274</v>
      </c>
    </row>
    <row r="142" spans="1:16" ht="15.75" customHeight="1" outlineLevel="1" x14ac:dyDescent="0.15">
      <c r="A142" s="134"/>
      <c r="C142" s="1" t="str">
        <f t="shared" si="49"/>
        <v>Driver</v>
      </c>
      <c r="K142" s="189">
        <f t="shared" ref="K142:P142" si="54">MIN(K132*K$96,K102)+MIN(K132*K$98,K$99)+MIN(K132*K$100,K106)+K132*K$104</f>
        <v>3574.283275141609</v>
      </c>
      <c r="L142" s="189">
        <f t="shared" si="54"/>
        <v>5192.016626487437</v>
      </c>
      <c r="M142" s="189">
        <f t="shared" si="54"/>
        <v>5054.5703875691925</v>
      </c>
      <c r="N142" s="189">
        <f t="shared" si="54"/>
        <v>5944.4614436863521</v>
      </c>
      <c r="O142" s="189">
        <f t="shared" si="54"/>
        <v>6123.5879014338061</v>
      </c>
      <c r="P142" s="189">
        <f t="shared" si="54"/>
        <v>6309.8794174911591</v>
      </c>
    </row>
    <row r="143" spans="1:16" ht="15.75" customHeight="1" outlineLevel="1" x14ac:dyDescent="0.15">
      <c r="A143" s="134"/>
      <c r="C143" s="1" t="str">
        <f t="shared" si="49"/>
        <v>Garden Coordinator</v>
      </c>
      <c r="K143" s="189">
        <f t="shared" ref="K143:P143" si="55">MIN(K133*K$96,K103)+MIN(K133*K$98,K$99)+MIN(K133*K$100,K107)+K133*K$104</f>
        <v>2548.651100160685</v>
      </c>
      <c r="L143" s="189">
        <f t="shared" si="55"/>
        <v>5476.5299116202441</v>
      </c>
      <c r="M143" s="189">
        <f t="shared" si="55"/>
        <v>5018.1537988150576</v>
      </c>
      <c r="N143" s="189">
        <f t="shared" si="55"/>
        <v>5160.1887507676593</v>
      </c>
      <c r="O143" s="189">
        <f t="shared" si="55"/>
        <v>6286.3849690361176</v>
      </c>
      <c r="P143" s="189">
        <f t="shared" si="55"/>
        <v>6441.036094278189</v>
      </c>
    </row>
    <row r="144" spans="1:16" ht="15.75" customHeight="1" outlineLevel="1" x14ac:dyDescent="0.15">
      <c r="A144" s="134"/>
      <c r="C144" s="4" t="s">
        <v>180</v>
      </c>
      <c r="E144" s="14" t="s">
        <v>138</v>
      </c>
      <c r="K144" s="193">
        <f>SUM(K137:K143)</f>
        <v>28540.0156398578</v>
      </c>
      <c r="L144" s="193">
        <f t="shared" ref="L144:P144" si="56">SUM(L137:L143)</f>
        <v>40868.081806268572</v>
      </c>
      <c r="M144" s="193">
        <f t="shared" si="56"/>
        <v>43504.30329095693</v>
      </c>
      <c r="N144" s="193">
        <f t="shared" si="56"/>
        <v>49351.690675137143</v>
      </c>
      <c r="O144" s="193">
        <f t="shared" si="56"/>
        <v>62322.132004456726</v>
      </c>
      <c r="P144" s="193">
        <f t="shared" si="56"/>
        <v>63860.91061837817</v>
      </c>
    </row>
    <row r="145" spans="1:16" ht="15.75" customHeight="1" outlineLevel="1" x14ac:dyDescent="0.15">
      <c r="A145" s="134"/>
      <c r="K145" s="189"/>
      <c r="L145" s="189"/>
      <c r="M145" s="189"/>
      <c r="N145" s="189"/>
      <c r="O145" s="189"/>
      <c r="P145" s="189"/>
    </row>
    <row r="146" spans="1:16" ht="15.75" customHeight="1" outlineLevel="1" x14ac:dyDescent="0.15">
      <c r="A146" s="134"/>
      <c r="B146" s="4" t="s">
        <v>181</v>
      </c>
      <c r="K146" s="193">
        <f>K134+K144</f>
        <v>415307.29063985782</v>
      </c>
      <c r="L146" s="193">
        <f t="shared" ref="L146:P146" si="57">L134+L144</f>
        <v>670344.73180626857</v>
      </c>
      <c r="M146" s="193">
        <f t="shared" si="57"/>
        <v>701925.46829095692</v>
      </c>
      <c r="N146" s="193">
        <f t="shared" si="57"/>
        <v>831877.59067513724</v>
      </c>
      <c r="O146" s="193">
        <f t="shared" si="57"/>
        <v>1118339.3392364569</v>
      </c>
      <c r="P146" s="193">
        <f t="shared" si="57"/>
        <v>1154538.2576545381</v>
      </c>
    </row>
    <row r="147" spans="1:16" ht="15.75" customHeight="1" outlineLevel="1" x14ac:dyDescent="0.15">
      <c r="A147" s="134"/>
      <c r="K147" s="150"/>
      <c r="L147" s="150"/>
      <c r="M147" s="150"/>
      <c r="N147" s="150"/>
      <c r="O147" s="150"/>
      <c r="P147" s="150"/>
    </row>
    <row r="148" spans="1:16" ht="15.75" customHeight="1" x14ac:dyDescent="0.15">
      <c r="A148" s="134"/>
      <c r="K148" s="57"/>
      <c r="L148" s="57"/>
      <c r="M148" s="57"/>
      <c r="N148" s="57"/>
      <c r="O148" s="57"/>
      <c r="P148" s="57"/>
    </row>
    <row r="149" spans="1:16" ht="15.75" customHeight="1" x14ac:dyDescent="0.15">
      <c r="A149" s="135"/>
      <c r="B149" s="113" t="s">
        <v>133</v>
      </c>
      <c r="C149" s="113"/>
      <c r="D149" s="113"/>
      <c r="E149" s="145"/>
      <c r="F149" s="113"/>
      <c r="G149" s="113"/>
      <c r="H149" s="113"/>
      <c r="I149" s="113"/>
      <c r="J149" s="113"/>
      <c r="K149" s="117"/>
      <c r="L149" s="117"/>
      <c r="M149" s="117"/>
      <c r="N149" s="117"/>
      <c r="O149" s="117"/>
      <c r="P149" s="117"/>
    </row>
    <row r="150" spans="1:16" ht="15.75" customHeight="1" outlineLevel="1" x14ac:dyDescent="0.15">
      <c r="A150" s="134"/>
      <c r="K150" s="57"/>
      <c r="L150" s="57"/>
      <c r="M150" s="57"/>
      <c r="N150" s="57"/>
      <c r="O150" s="57"/>
      <c r="P150" s="57"/>
    </row>
    <row r="151" spans="1:16" ht="15.75" customHeight="1" outlineLevel="1" x14ac:dyDescent="0.15">
      <c r="A151" s="134"/>
      <c r="B151" s="1" t="s">
        <v>9</v>
      </c>
      <c r="K151" s="52">
        <v>0.02</v>
      </c>
      <c r="L151" s="53">
        <v>0.02</v>
      </c>
      <c r="M151" s="53">
        <v>0.02</v>
      </c>
      <c r="N151" s="53">
        <v>0.02</v>
      </c>
      <c r="O151" s="53">
        <v>0.02</v>
      </c>
      <c r="P151" s="54">
        <v>0.02</v>
      </c>
    </row>
    <row r="152" spans="1:16" ht="15.75" customHeight="1" outlineLevel="1" x14ac:dyDescent="0.15">
      <c r="A152" s="134"/>
      <c r="K152" s="150"/>
      <c r="L152" s="150"/>
      <c r="M152" s="150"/>
      <c r="N152" s="150"/>
      <c r="O152" s="150"/>
      <c r="P152" s="150"/>
    </row>
    <row r="153" spans="1:16" ht="15.75" customHeight="1" outlineLevel="1" x14ac:dyDescent="0.15">
      <c r="A153" s="134"/>
      <c r="B153" s="4" t="s">
        <v>147</v>
      </c>
      <c r="K153" s="24"/>
      <c r="L153" s="24"/>
      <c r="M153" s="24"/>
      <c r="N153" s="24"/>
      <c r="O153" s="24"/>
      <c r="P153" s="24"/>
    </row>
    <row r="154" spans="1:16" ht="15.75" customHeight="1" outlineLevel="1" x14ac:dyDescent="0.15">
      <c r="A154" s="134"/>
      <c r="C154" s="149" t="s">
        <v>131</v>
      </c>
      <c r="E154" s="14" t="s">
        <v>18</v>
      </c>
      <c r="K154" s="15">
        <v>32564.99</v>
      </c>
      <c r="L154" s="15">
        <v>20000</v>
      </c>
      <c r="M154" s="17">
        <f>L154*(1+M$151)</f>
        <v>20400</v>
      </c>
      <c r="N154" s="17">
        <f t="shared" ref="N154:P154" si="58">M154*(1+N$151)</f>
        <v>20808</v>
      </c>
      <c r="O154" s="17">
        <f t="shared" si="58"/>
        <v>21224.16</v>
      </c>
      <c r="P154" s="17">
        <f t="shared" si="58"/>
        <v>21648.643199999999</v>
      </c>
    </row>
    <row r="155" spans="1:16" ht="15.75" customHeight="1" outlineLevel="1" x14ac:dyDescent="0.15">
      <c r="A155" s="134"/>
      <c r="C155" s="149" t="s">
        <v>132</v>
      </c>
      <c r="E155" s="14" t="s">
        <v>18</v>
      </c>
      <c r="K155" s="15">
        <v>25324</v>
      </c>
      <c r="L155" s="15">
        <v>35000</v>
      </c>
      <c r="M155" s="17">
        <f t="shared" ref="M155:P156" si="59">L155*(1+M$151)</f>
        <v>35700</v>
      </c>
      <c r="N155" s="17">
        <f t="shared" si="59"/>
        <v>36414</v>
      </c>
      <c r="O155" s="17">
        <f t="shared" si="59"/>
        <v>37142.28</v>
      </c>
      <c r="P155" s="17">
        <f t="shared" si="59"/>
        <v>37885.125599999999</v>
      </c>
    </row>
    <row r="156" spans="1:16" ht="15.75" customHeight="1" outlineLevel="1" x14ac:dyDescent="0.15">
      <c r="A156" s="134"/>
      <c r="C156" s="149" t="s">
        <v>149</v>
      </c>
      <c r="E156" s="14" t="s">
        <v>18</v>
      </c>
      <c r="K156" s="15">
        <v>70143</v>
      </c>
      <c r="L156" s="15">
        <v>95000</v>
      </c>
      <c r="M156" s="17">
        <f t="shared" si="59"/>
        <v>96900</v>
      </c>
      <c r="N156" s="17">
        <f t="shared" si="59"/>
        <v>98838</v>
      </c>
      <c r="O156" s="17">
        <f t="shared" si="59"/>
        <v>100814.76</v>
      </c>
      <c r="P156" s="17">
        <f t="shared" si="59"/>
        <v>102831.0552</v>
      </c>
    </row>
    <row r="157" spans="1:16" ht="15.75" customHeight="1" outlineLevel="1" x14ac:dyDescent="0.15">
      <c r="A157" s="134"/>
      <c r="B157" s="4" t="s">
        <v>148</v>
      </c>
      <c r="C157" s="4"/>
      <c r="K157" s="18">
        <f t="shared" ref="K157:P157" si="60">SUM(K154:K156)</f>
        <v>128031.99</v>
      </c>
      <c r="L157" s="18">
        <f t="shared" si="60"/>
        <v>150000</v>
      </c>
      <c r="M157" s="18">
        <f t="shared" si="60"/>
        <v>153000</v>
      </c>
      <c r="N157" s="18">
        <f t="shared" si="60"/>
        <v>156060</v>
      </c>
      <c r="O157" s="18">
        <f t="shared" si="60"/>
        <v>159181.20000000001</v>
      </c>
      <c r="P157" s="18">
        <f t="shared" si="60"/>
        <v>162364.82399999999</v>
      </c>
    </row>
    <row r="158" spans="1:16" ht="15.75" customHeight="1" outlineLevel="1" x14ac:dyDescent="0.15">
      <c r="A158" s="134"/>
      <c r="B158" s="4"/>
      <c r="C158" s="4"/>
      <c r="K158" s="109"/>
      <c r="L158" s="109"/>
      <c r="M158" s="109"/>
      <c r="N158" s="109"/>
      <c r="O158" s="109"/>
      <c r="P158" s="109"/>
    </row>
    <row r="159" spans="1:16" ht="15.75" customHeight="1" x14ac:dyDescent="0.15">
      <c r="A159" s="134"/>
    </row>
    <row r="160" spans="1:16" ht="15.75" customHeight="1" x14ac:dyDescent="0.15">
      <c r="A160" s="135"/>
      <c r="B160" s="113" t="s">
        <v>20</v>
      </c>
      <c r="C160" s="113"/>
      <c r="D160" s="113"/>
      <c r="E160" s="145"/>
      <c r="F160" s="112"/>
      <c r="G160" s="112"/>
      <c r="H160" s="112"/>
      <c r="I160" s="112"/>
      <c r="J160" s="112"/>
      <c r="K160" s="117"/>
      <c r="L160" s="117"/>
      <c r="M160" s="117"/>
      <c r="N160" s="117"/>
      <c r="O160" s="117"/>
      <c r="P160" s="117"/>
    </row>
    <row r="161" spans="1:16" ht="15.75" customHeight="1" outlineLevel="1" x14ac:dyDescent="0.15">
      <c r="A161" s="136"/>
      <c r="B161" s="33"/>
      <c r="C161" s="5"/>
      <c r="D161" s="5"/>
      <c r="E161" s="146"/>
      <c r="F161" s="6"/>
      <c r="G161" s="6"/>
      <c r="H161" s="6"/>
      <c r="I161" s="6"/>
      <c r="J161" s="6"/>
      <c r="K161" s="7"/>
      <c r="M161" s="7"/>
      <c r="N161" s="7"/>
      <c r="O161" s="7"/>
    </row>
    <row r="162" spans="1:16" ht="15.75" customHeight="1" outlineLevel="1" x14ac:dyDescent="0.15">
      <c r="A162" s="134"/>
      <c r="B162" s="1" t="s">
        <v>155</v>
      </c>
      <c r="K162" s="132">
        <v>970285</v>
      </c>
      <c r="L162" s="152">
        <f>L28</f>
        <v>1637300</v>
      </c>
      <c r="M162" s="152">
        <f>M28</f>
        <v>1607725</v>
      </c>
      <c r="N162" s="152">
        <f>N28</f>
        <v>1907150</v>
      </c>
      <c r="O162" s="152">
        <f>O28</f>
        <v>2493575</v>
      </c>
      <c r="P162" s="152">
        <f>P28</f>
        <v>3171000</v>
      </c>
    </row>
    <row r="163" spans="1:16" ht="15.75" customHeight="1" outlineLevel="1" x14ac:dyDescent="0.15">
      <c r="A163" s="134"/>
      <c r="B163" s="1" t="s">
        <v>21</v>
      </c>
      <c r="K163" s="132">
        <v>232554</v>
      </c>
      <c r="L163" s="15">
        <v>275000</v>
      </c>
      <c r="M163" s="15">
        <v>150000</v>
      </c>
      <c r="N163" s="15">
        <v>150000</v>
      </c>
      <c r="O163" s="15">
        <v>150000</v>
      </c>
      <c r="P163" s="15">
        <v>170000</v>
      </c>
    </row>
    <row r="164" spans="1:16" ht="15.75" customHeight="1" outlineLevel="1" x14ac:dyDescent="0.15">
      <c r="A164" s="134"/>
      <c r="B164" s="1" t="s">
        <v>189</v>
      </c>
      <c r="K164" s="132">
        <v>12650</v>
      </c>
      <c r="L164" s="15">
        <v>15000</v>
      </c>
      <c r="M164" s="15">
        <v>50000</v>
      </c>
      <c r="N164" s="15">
        <v>75000</v>
      </c>
      <c r="O164" s="15">
        <v>100000</v>
      </c>
      <c r="P164" s="15">
        <v>125000</v>
      </c>
    </row>
    <row r="165" spans="1:16" ht="15.75" customHeight="1" outlineLevel="1" x14ac:dyDescent="0.15">
      <c r="A165" s="134"/>
      <c r="B165" s="1" t="s">
        <v>33</v>
      </c>
      <c r="K165" s="153">
        <v>11880</v>
      </c>
      <c r="L165" s="128">
        <v>15000</v>
      </c>
      <c r="M165" s="128">
        <v>35000</v>
      </c>
      <c r="N165" s="128">
        <v>35000</v>
      </c>
      <c r="O165" s="128">
        <v>35000</v>
      </c>
      <c r="P165" s="128">
        <v>35000</v>
      </c>
    </row>
    <row r="166" spans="1:16" ht="15.75" customHeight="1" outlineLevel="1" x14ac:dyDescent="0.15">
      <c r="A166" s="134"/>
      <c r="B166" s="4" t="s">
        <v>22</v>
      </c>
      <c r="K166" s="151">
        <f>SUM(K162:K165)</f>
        <v>1227369</v>
      </c>
      <c r="L166" s="109">
        <f t="shared" ref="L166:P166" si="61">SUM(L162:L165)</f>
        <v>1942300</v>
      </c>
      <c r="M166" s="109">
        <f t="shared" si="61"/>
        <v>1842725</v>
      </c>
      <c r="N166" s="109">
        <f t="shared" si="61"/>
        <v>2167150</v>
      </c>
      <c r="O166" s="109">
        <f t="shared" si="61"/>
        <v>2778575</v>
      </c>
      <c r="P166" s="109">
        <f t="shared" si="61"/>
        <v>3501000</v>
      </c>
    </row>
    <row r="167" spans="1:16" ht="15.75" customHeight="1" outlineLevel="1" x14ac:dyDescent="0.15">
      <c r="A167" s="134"/>
      <c r="K167" s="131"/>
      <c r="L167" s="17"/>
      <c r="M167" s="17"/>
      <c r="N167" s="17"/>
      <c r="O167" s="17"/>
      <c r="P167" s="17"/>
    </row>
    <row r="168" spans="1:16" ht="15.75" customHeight="1" outlineLevel="1" x14ac:dyDescent="0.15">
      <c r="A168" s="134"/>
      <c r="B168" s="1" t="s">
        <v>10</v>
      </c>
      <c r="K168" s="152">
        <f t="shared" ref="K168:P168" si="62">K57</f>
        <v>223224.73</v>
      </c>
      <c r="L168" s="152">
        <f t="shared" si="62"/>
        <v>596399.62057999999</v>
      </c>
      <c r="M168" s="152">
        <f t="shared" si="62"/>
        <v>594643.06293945003</v>
      </c>
      <c r="N168" s="152">
        <f t="shared" si="62"/>
        <v>665147.51789220388</v>
      </c>
      <c r="O168" s="152">
        <f t="shared" si="62"/>
        <v>798018.07171084895</v>
      </c>
      <c r="P168" s="152">
        <f t="shared" si="62"/>
        <v>941080.55115777149</v>
      </c>
    </row>
    <row r="169" spans="1:16" ht="15.75" customHeight="1" outlineLevel="1" x14ac:dyDescent="0.15">
      <c r="A169" s="134"/>
      <c r="K169" s="154"/>
      <c r="L169" s="122"/>
      <c r="M169" s="122"/>
      <c r="N169" s="122"/>
      <c r="O169" s="122"/>
      <c r="P169" s="122"/>
    </row>
    <row r="170" spans="1:16" ht="15.75" customHeight="1" outlineLevel="1" x14ac:dyDescent="0.15">
      <c r="A170" s="134"/>
      <c r="B170" s="4" t="s">
        <v>23</v>
      </c>
      <c r="C170" s="4"/>
      <c r="D170" s="4"/>
      <c r="E170" s="3"/>
      <c r="F170" s="4"/>
      <c r="G170" s="4"/>
      <c r="H170" s="4"/>
      <c r="I170" s="4"/>
      <c r="J170" s="4"/>
      <c r="K170" s="151">
        <f t="shared" ref="K170:P170" si="63">K166-K168</f>
        <v>1004144.27</v>
      </c>
      <c r="L170" s="151">
        <f t="shared" si="63"/>
        <v>1345900.3794200001</v>
      </c>
      <c r="M170" s="151">
        <f t="shared" si="63"/>
        <v>1248081.9370605499</v>
      </c>
      <c r="N170" s="151">
        <f t="shared" si="63"/>
        <v>1502002.4821077962</v>
      </c>
      <c r="O170" s="151">
        <f t="shared" si="63"/>
        <v>1980556.9282891511</v>
      </c>
      <c r="P170" s="151">
        <f t="shared" si="63"/>
        <v>2559919.4488422284</v>
      </c>
    </row>
    <row r="171" spans="1:16" ht="15.75" customHeight="1" outlineLevel="1" x14ac:dyDescent="0.15">
      <c r="A171" s="134"/>
      <c r="K171" s="131"/>
      <c r="L171" s="17"/>
      <c r="M171" s="17"/>
      <c r="N171" s="17"/>
      <c r="O171" s="17"/>
      <c r="P171" s="17"/>
    </row>
    <row r="172" spans="1:16" ht="15.75" customHeight="1" outlineLevel="1" x14ac:dyDescent="0.15">
      <c r="A172" s="134"/>
      <c r="B172" s="1" t="s">
        <v>143</v>
      </c>
      <c r="K172" s="152">
        <f>K87</f>
        <v>70900</v>
      </c>
      <c r="L172" s="152">
        <f t="shared" ref="L172:P172" si="64">L87</f>
        <v>74100</v>
      </c>
      <c r="M172" s="152">
        <f t="shared" si="64"/>
        <v>65160</v>
      </c>
      <c r="N172" s="152">
        <f t="shared" si="64"/>
        <v>128522.4</v>
      </c>
      <c r="O172" s="152">
        <f t="shared" si="64"/>
        <v>128647.24800000001</v>
      </c>
      <c r="P172" s="152">
        <f t="shared" si="64"/>
        <v>128774.59295999999</v>
      </c>
    </row>
    <row r="173" spans="1:16" ht="15.75" customHeight="1" outlineLevel="1" x14ac:dyDescent="0.15">
      <c r="A173" s="134"/>
      <c r="B173" s="1" t="s">
        <v>24</v>
      </c>
      <c r="K173" s="152">
        <f>K146</f>
        <v>415307.29063985782</v>
      </c>
      <c r="L173" s="152">
        <f>L146</f>
        <v>670344.73180626857</v>
      </c>
      <c r="M173" s="152">
        <f t="shared" ref="M173:P173" si="65">M146</f>
        <v>701925.46829095692</v>
      </c>
      <c r="N173" s="152">
        <f t="shared" si="65"/>
        <v>831877.59067513724</v>
      </c>
      <c r="O173" s="152">
        <f t="shared" si="65"/>
        <v>1118339.3392364569</v>
      </c>
      <c r="P173" s="152">
        <f t="shared" si="65"/>
        <v>1154538.2576545381</v>
      </c>
    </row>
    <row r="174" spans="1:16" ht="15.75" customHeight="1" outlineLevel="1" x14ac:dyDescent="0.15">
      <c r="A174" s="134"/>
      <c r="B174" s="1" t="s">
        <v>133</v>
      </c>
      <c r="K174" s="155">
        <f>K157</f>
        <v>128031.99</v>
      </c>
      <c r="L174" s="155">
        <f t="shared" ref="L174:P174" si="66">L157</f>
        <v>150000</v>
      </c>
      <c r="M174" s="155">
        <f t="shared" si="66"/>
        <v>153000</v>
      </c>
      <c r="N174" s="155">
        <f t="shared" si="66"/>
        <v>156060</v>
      </c>
      <c r="O174" s="155">
        <f t="shared" si="66"/>
        <v>159181.20000000001</v>
      </c>
      <c r="P174" s="155">
        <f t="shared" si="66"/>
        <v>162364.82399999999</v>
      </c>
    </row>
    <row r="175" spans="1:16" ht="15.75" customHeight="1" outlineLevel="1" x14ac:dyDescent="0.15">
      <c r="A175" s="134"/>
      <c r="B175" s="4" t="s">
        <v>25</v>
      </c>
      <c r="K175" s="151">
        <f t="shared" ref="K175:P175" si="67">SUM(K172:K174)</f>
        <v>614239.28063985787</v>
      </c>
      <c r="L175" s="109">
        <f t="shared" si="67"/>
        <v>894444.73180626857</v>
      </c>
      <c r="M175" s="109">
        <f t="shared" si="67"/>
        <v>920085.46829095692</v>
      </c>
      <c r="N175" s="109">
        <f t="shared" si="67"/>
        <v>1116459.9906751374</v>
      </c>
      <c r="O175" s="109">
        <f t="shared" si="67"/>
        <v>1406167.7872364568</v>
      </c>
      <c r="P175" s="109">
        <f t="shared" si="67"/>
        <v>1445677.6746145382</v>
      </c>
    </row>
    <row r="176" spans="1:16" ht="15.75" customHeight="1" outlineLevel="1" x14ac:dyDescent="0.15">
      <c r="A176" s="134"/>
      <c r="K176" s="154"/>
      <c r="L176" s="122"/>
      <c r="M176" s="122"/>
      <c r="N176" s="122"/>
      <c r="O176" s="122"/>
      <c r="P176" s="122"/>
    </row>
    <row r="177" spans="1:19" ht="15.75" customHeight="1" outlineLevel="1" x14ac:dyDescent="0.15">
      <c r="A177" s="134"/>
      <c r="B177" s="4" t="s">
        <v>26</v>
      </c>
      <c r="C177" s="4"/>
      <c r="D177" s="4"/>
      <c r="E177" s="3"/>
      <c r="F177" s="4"/>
      <c r="G177" s="4"/>
      <c r="H177" s="4"/>
      <c r="I177" s="4"/>
      <c r="J177" s="4"/>
      <c r="K177" s="151">
        <f t="shared" ref="K177:P177" si="68">K170-SUM(K172:K174)</f>
        <v>389904.98936014215</v>
      </c>
      <c r="L177" s="109">
        <f t="shared" si="68"/>
        <v>451455.64761373156</v>
      </c>
      <c r="M177" s="109">
        <f t="shared" si="68"/>
        <v>327996.46876959293</v>
      </c>
      <c r="N177" s="109">
        <f t="shared" si="68"/>
        <v>385542.49143265886</v>
      </c>
      <c r="O177" s="109">
        <f t="shared" si="68"/>
        <v>574389.14105269429</v>
      </c>
      <c r="P177" s="109">
        <f t="shared" si="68"/>
        <v>1114241.7742276902</v>
      </c>
    </row>
    <row r="178" spans="1:19" ht="15.75" customHeight="1" outlineLevel="1" x14ac:dyDescent="0.15">
      <c r="A178" s="134"/>
      <c r="K178" s="154"/>
      <c r="L178" s="122"/>
      <c r="M178" s="122"/>
      <c r="N178" s="122"/>
      <c r="O178" s="122"/>
      <c r="P178" s="122"/>
    </row>
    <row r="179" spans="1:19" ht="15.75" customHeight="1" outlineLevel="1" x14ac:dyDescent="0.15">
      <c r="A179" s="134"/>
      <c r="B179" s="1" t="s">
        <v>157</v>
      </c>
      <c r="K179" s="131">
        <f t="shared" ref="K179:P179" si="69">-K298</f>
        <v>0</v>
      </c>
      <c r="L179" s="131">
        <f t="shared" si="69"/>
        <v>0</v>
      </c>
      <c r="M179" s="131">
        <f t="shared" si="69"/>
        <v>0</v>
      </c>
      <c r="N179" s="131">
        <f t="shared" si="69"/>
        <v>0</v>
      </c>
      <c r="O179" s="131">
        <f t="shared" si="69"/>
        <v>0</v>
      </c>
      <c r="P179" s="131">
        <f t="shared" si="69"/>
        <v>0</v>
      </c>
    </row>
    <row r="180" spans="1:19" ht="15.75" customHeight="1" outlineLevel="1" x14ac:dyDescent="0.15">
      <c r="A180" s="134"/>
      <c r="B180" s="1" t="s">
        <v>156</v>
      </c>
      <c r="K180" s="131">
        <f t="shared" ref="K180:P180" si="70">K307</f>
        <v>4223.4807692307695</v>
      </c>
      <c r="L180" s="131">
        <f t="shared" si="70"/>
        <v>13825.884615384615</v>
      </c>
      <c r="M180" s="131">
        <f t="shared" si="70"/>
        <v>19204.807692307691</v>
      </c>
      <c r="N180" s="131">
        <f t="shared" si="70"/>
        <v>19204.807692307691</v>
      </c>
      <c r="O180" s="131">
        <f t="shared" si="70"/>
        <v>19204.807692307691</v>
      </c>
      <c r="P180" s="131">
        <f t="shared" si="70"/>
        <v>19204.807692307691</v>
      </c>
    </row>
    <row r="181" spans="1:19" ht="15" customHeight="1" outlineLevel="1" x14ac:dyDescent="0.15"/>
    <row r="182" spans="1:19" ht="15.75" customHeight="1" outlineLevel="1" thickBot="1" x14ac:dyDescent="0.2">
      <c r="A182" s="134"/>
      <c r="B182" s="4" t="s">
        <v>27</v>
      </c>
      <c r="C182" s="4"/>
      <c r="D182" s="4"/>
      <c r="E182" s="3"/>
      <c r="F182" s="4"/>
      <c r="G182" s="4"/>
      <c r="H182" s="4"/>
      <c r="I182" s="4"/>
      <c r="J182" s="4"/>
      <c r="K182" s="133">
        <f>K177-K179-K180</f>
        <v>385681.5085909114</v>
      </c>
      <c r="L182" s="133">
        <f t="shared" ref="L182:P182" si="71">L177-L179-L180</f>
        <v>437629.76299834694</v>
      </c>
      <c r="M182" s="133">
        <f t="shared" si="71"/>
        <v>308791.66107728524</v>
      </c>
      <c r="N182" s="133">
        <f t="shared" si="71"/>
        <v>366337.68374035117</v>
      </c>
      <c r="O182" s="133">
        <f t="shared" si="71"/>
        <v>555184.33336038655</v>
      </c>
      <c r="P182" s="133">
        <f t="shared" si="71"/>
        <v>1095036.9665353824</v>
      </c>
    </row>
    <row r="183" spans="1:19" ht="15.75" customHeight="1" outlineLevel="1" thickTop="1" x14ac:dyDescent="0.15">
      <c r="A183" s="134"/>
      <c r="B183" s="4"/>
      <c r="C183" s="4"/>
      <c r="D183" s="4"/>
      <c r="E183" s="3"/>
      <c r="F183" s="4"/>
      <c r="G183" s="4"/>
      <c r="H183" s="4"/>
      <c r="I183" s="4"/>
      <c r="J183" s="4"/>
      <c r="K183" s="151"/>
      <c r="L183" s="109"/>
      <c r="M183" s="109"/>
      <c r="N183" s="109"/>
      <c r="O183" s="109"/>
      <c r="P183" s="109"/>
    </row>
    <row r="184" spans="1:19" ht="15.75" customHeight="1" x14ac:dyDescent="0.15">
      <c r="A184" s="134"/>
      <c r="K184" s="24"/>
      <c r="L184" s="24"/>
      <c r="M184" s="24"/>
      <c r="N184" s="24"/>
      <c r="O184" s="24"/>
      <c r="P184" s="24"/>
    </row>
    <row r="185" spans="1:19" ht="15" customHeight="1" x14ac:dyDescent="0.15">
      <c r="A185" s="135"/>
      <c r="B185" s="113" t="s">
        <v>28</v>
      </c>
      <c r="C185" s="113"/>
      <c r="D185" s="113"/>
      <c r="E185" s="145"/>
      <c r="F185" s="112"/>
      <c r="G185" s="112"/>
      <c r="H185" s="112"/>
      <c r="I185" s="112"/>
      <c r="J185" s="117"/>
      <c r="K185" s="117"/>
      <c r="L185" s="117"/>
      <c r="M185" s="118"/>
      <c r="N185" s="119"/>
      <c r="O185" s="119"/>
      <c r="P185" s="119"/>
      <c r="Q185" s="8"/>
    </row>
    <row r="186" spans="1:19" ht="15" customHeight="1" outlineLevel="1" x14ac:dyDescent="0.15">
      <c r="A186" s="134"/>
      <c r="B186" s="33"/>
      <c r="C186" s="33"/>
      <c r="D186" s="5"/>
      <c r="E186" s="146"/>
      <c r="F186" s="6"/>
      <c r="G186" s="6"/>
      <c r="H186" s="6"/>
      <c r="I186" s="6"/>
      <c r="J186" s="7"/>
      <c r="K186" s="7"/>
      <c r="L186" s="43"/>
      <c r="M186" s="34"/>
      <c r="N186" s="34"/>
      <c r="O186" s="34"/>
      <c r="P186" s="34"/>
      <c r="Q186" s="7"/>
    </row>
    <row r="187" spans="1:19" ht="15" customHeight="1" outlineLevel="1" x14ac:dyDescent="0.15">
      <c r="A187" s="134"/>
      <c r="B187" s="25" t="s">
        <v>29</v>
      </c>
      <c r="C187" s="27"/>
      <c r="D187" s="4"/>
      <c r="E187" s="3"/>
      <c r="G187" s="24"/>
      <c r="H187" s="24"/>
      <c r="I187" s="24"/>
      <c r="J187" s="61"/>
      <c r="K187" s="61"/>
      <c r="L187" s="61"/>
      <c r="M187" s="61"/>
      <c r="N187" s="61"/>
      <c r="O187" s="61"/>
      <c r="P187" s="61"/>
      <c r="Q187" s="60"/>
    </row>
    <row r="188" spans="1:19" ht="15" customHeight="1" outlineLevel="1" x14ac:dyDescent="0.15">
      <c r="A188" s="134"/>
      <c r="B188" s="27"/>
      <c r="C188" s="9" t="s">
        <v>30</v>
      </c>
      <c r="D188" s="9"/>
      <c r="E188" s="3"/>
      <c r="G188" s="35"/>
      <c r="H188" s="35"/>
      <c r="I188" s="35"/>
      <c r="J188" s="35"/>
      <c r="K188" s="62">
        <f t="shared" ref="K188:P188" si="72">K238</f>
        <v>468392.98936014215</v>
      </c>
      <c r="L188" s="62">
        <f t="shared" si="72"/>
        <v>670046.18697387376</v>
      </c>
      <c r="M188" s="62">
        <f t="shared" si="72"/>
        <v>1096790.3489048723</v>
      </c>
      <c r="N188" s="62">
        <f t="shared" si="72"/>
        <v>1496029.4680535274</v>
      </c>
      <c r="O188" s="62">
        <f t="shared" si="72"/>
        <v>2099993.2352216896</v>
      </c>
      <c r="P188" s="62">
        <f t="shared" si="72"/>
        <v>3221431.7381816772</v>
      </c>
    </row>
    <row r="189" spans="1:19" ht="15" customHeight="1" outlineLevel="1" x14ac:dyDescent="0.15">
      <c r="A189" s="134"/>
      <c r="B189" s="27"/>
      <c r="C189" s="9" t="s">
        <v>31</v>
      </c>
      <c r="D189" s="9"/>
      <c r="E189" s="3"/>
      <c r="G189" s="63"/>
      <c r="H189" s="63"/>
      <c r="I189" s="63"/>
      <c r="J189" s="63"/>
      <c r="K189" s="62">
        <v>23665</v>
      </c>
      <c r="L189" s="62">
        <v>28664.82</v>
      </c>
      <c r="M189" s="62">
        <f t="shared" ref="K189:P189" si="73">M255</f>
        <v>0</v>
      </c>
      <c r="N189" s="62">
        <f t="shared" si="73"/>
        <v>0</v>
      </c>
      <c r="O189" s="62">
        <f t="shared" si="73"/>
        <v>0</v>
      </c>
      <c r="P189" s="62">
        <f t="shared" si="73"/>
        <v>0</v>
      </c>
    </row>
    <row r="190" spans="1:19" ht="15" customHeight="1" outlineLevel="1" x14ac:dyDescent="0.15">
      <c r="A190" s="134"/>
      <c r="B190" s="27"/>
      <c r="C190" s="9" t="s">
        <v>32</v>
      </c>
      <c r="D190" s="9"/>
      <c r="E190" s="3"/>
      <c r="G190" s="63"/>
      <c r="H190" s="63"/>
      <c r="I190" s="63"/>
      <c r="J190" s="63"/>
      <c r="K190" s="62">
        <f t="shared" ref="K190:P190" si="74">K256</f>
        <v>0</v>
      </c>
      <c r="L190" s="62">
        <v>0</v>
      </c>
      <c r="M190" s="62">
        <f t="shared" si="74"/>
        <v>8145.7953827321917</v>
      </c>
      <c r="N190" s="62">
        <f t="shared" si="74"/>
        <v>9111.6098341397792</v>
      </c>
      <c r="O190" s="62">
        <f t="shared" si="74"/>
        <v>10931.75440699793</v>
      </c>
      <c r="P190" s="62">
        <f t="shared" si="74"/>
        <v>12891.514399421527</v>
      </c>
    </row>
    <row r="191" spans="1:19" ht="15" customHeight="1" outlineLevel="1" x14ac:dyDescent="0.15">
      <c r="A191" s="134"/>
      <c r="B191" s="27"/>
      <c r="C191" s="9" t="s">
        <v>33</v>
      </c>
      <c r="D191" s="9"/>
      <c r="E191" s="3"/>
      <c r="G191" s="64"/>
      <c r="H191" s="64"/>
      <c r="I191" s="64"/>
      <c r="J191" s="64"/>
      <c r="K191" s="15">
        <v>4222</v>
      </c>
      <c r="L191" s="15">
        <v>0</v>
      </c>
      <c r="M191" s="15">
        <v>0</v>
      </c>
      <c r="N191" s="15">
        <v>0</v>
      </c>
      <c r="O191" s="15">
        <v>0</v>
      </c>
      <c r="P191" s="15">
        <v>0</v>
      </c>
      <c r="R191" s="28"/>
      <c r="S191" s="10"/>
    </row>
    <row r="192" spans="1:19" ht="15" customHeight="1" outlineLevel="1" x14ac:dyDescent="0.15">
      <c r="A192" s="134"/>
      <c r="B192" s="25" t="s">
        <v>34</v>
      </c>
      <c r="D192" s="4"/>
      <c r="E192" s="3"/>
      <c r="G192" s="65"/>
      <c r="H192" s="65"/>
      <c r="I192" s="65"/>
      <c r="J192" s="65"/>
      <c r="K192" s="66">
        <f t="shared" ref="K192:P192" si="75">SUM(K188:K191)</f>
        <v>496279.98936014215</v>
      </c>
      <c r="L192" s="66">
        <f t="shared" si="75"/>
        <v>698711.00697387371</v>
      </c>
      <c r="M192" s="66">
        <f t="shared" si="75"/>
        <v>1104936.1442876046</v>
      </c>
      <c r="N192" s="66">
        <f t="shared" si="75"/>
        <v>1505141.0778876671</v>
      </c>
      <c r="O192" s="66">
        <f t="shared" si="75"/>
        <v>2110924.9896286875</v>
      </c>
      <c r="P192" s="66">
        <f t="shared" si="75"/>
        <v>3234323.2525810986</v>
      </c>
    </row>
    <row r="193" spans="1:19" ht="15" customHeight="1" outlineLevel="1" x14ac:dyDescent="0.15">
      <c r="A193" s="134"/>
      <c r="B193" s="27"/>
      <c r="C193" s="9" t="s">
        <v>35</v>
      </c>
      <c r="D193" s="4"/>
      <c r="E193" s="3"/>
      <c r="G193" s="63"/>
      <c r="H193" s="63"/>
      <c r="I193" s="63"/>
      <c r="J193" s="63"/>
      <c r="K193" s="62">
        <f t="shared" ref="K193:P193" si="76">K308</f>
        <v>62142.519230769234</v>
      </c>
      <c r="L193" s="62">
        <v>32745.439999999999</v>
      </c>
      <c r="M193" s="62">
        <f t="shared" si="76"/>
        <v>115151.82692307694</v>
      </c>
      <c r="N193" s="62">
        <f t="shared" si="76"/>
        <v>95947.019230769249</v>
      </c>
      <c r="O193" s="62">
        <f t="shared" si="76"/>
        <v>76742.211538461561</v>
      </c>
      <c r="P193" s="62">
        <f t="shared" si="76"/>
        <v>57537.403846153873</v>
      </c>
    </row>
    <row r="194" spans="1:19" ht="15" customHeight="1" outlineLevel="1" x14ac:dyDescent="0.15">
      <c r="A194" s="134"/>
      <c r="B194" s="25" t="s">
        <v>36</v>
      </c>
      <c r="D194" s="4"/>
      <c r="E194" s="3"/>
      <c r="G194" s="65"/>
      <c r="H194" s="65"/>
      <c r="I194" s="65"/>
      <c r="J194" s="65"/>
      <c r="K194" s="67">
        <f t="shared" ref="K194:P194" si="77">K192+K193</f>
        <v>558422.5085909114</v>
      </c>
      <c r="L194" s="67">
        <f t="shared" si="77"/>
        <v>731456.44697387365</v>
      </c>
      <c r="M194" s="67">
        <f t="shared" si="77"/>
        <v>1220087.9712106816</v>
      </c>
      <c r="N194" s="67">
        <f t="shared" si="77"/>
        <v>1601088.0971184364</v>
      </c>
      <c r="O194" s="67">
        <f t="shared" si="77"/>
        <v>2187667.201167149</v>
      </c>
      <c r="P194" s="67">
        <f t="shared" si="77"/>
        <v>3291860.6564272526</v>
      </c>
    </row>
    <row r="195" spans="1:19" ht="15" customHeight="1" outlineLevel="1" x14ac:dyDescent="0.15">
      <c r="A195" s="134"/>
      <c r="B195" s="29"/>
      <c r="D195" s="4"/>
      <c r="E195" s="3"/>
      <c r="G195" s="68"/>
      <c r="H195" s="68"/>
      <c r="I195" s="68"/>
      <c r="J195" s="59"/>
      <c r="K195" s="59"/>
      <c r="L195" s="68"/>
      <c r="M195" s="68"/>
      <c r="N195" s="68"/>
      <c r="O195" s="68"/>
      <c r="P195" s="68"/>
      <c r="Q195" s="40"/>
    </row>
    <row r="196" spans="1:19" ht="15" customHeight="1" outlineLevel="1" x14ac:dyDescent="0.15">
      <c r="A196" s="134"/>
      <c r="B196" s="25" t="s">
        <v>37</v>
      </c>
      <c r="D196" s="4"/>
      <c r="E196" s="3"/>
      <c r="G196" s="68"/>
      <c r="H196" s="68"/>
      <c r="I196" s="68"/>
      <c r="J196" s="59"/>
      <c r="K196" s="59"/>
      <c r="L196" s="68"/>
      <c r="M196" s="68"/>
      <c r="N196" s="68"/>
      <c r="O196" s="68"/>
      <c r="P196" s="68"/>
      <c r="Q196" s="40"/>
    </row>
    <row r="197" spans="1:19" ht="15" customHeight="1" outlineLevel="1" x14ac:dyDescent="0.15">
      <c r="A197" s="134"/>
      <c r="B197" s="27"/>
      <c r="C197" s="9" t="s">
        <v>38</v>
      </c>
      <c r="D197" s="9"/>
      <c r="E197" s="3"/>
      <c r="G197" s="63"/>
      <c r="H197" s="63"/>
      <c r="I197" s="63"/>
      <c r="J197" s="63"/>
      <c r="K197" s="62">
        <v>27239</v>
      </c>
      <c r="L197" s="62">
        <v>1833.16</v>
      </c>
      <c r="M197" s="62">
        <f t="shared" ref="K197:P197" si="78">M257</f>
        <v>24437.386148196576</v>
      </c>
      <c r="N197" s="62">
        <f t="shared" si="78"/>
        <v>27334.829502419336</v>
      </c>
      <c r="O197" s="62">
        <f t="shared" si="78"/>
        <v>32795.263220993787</v>
      </c>
      <c r="P197" s="62">
        <f t="shared" si="78"/>
        <v>38674.543198264582</v>
      </c>
    </row>
    <row r="198" spans="1:19" ht="15" customHeight="1" outlineLevel="1" x14ac:dyDescent="0.15">
      <c r="A198" s="134"/>
      <c r="B198" s="27"/>
      <c r="C198" s="9" t="s">
        <v>39</v>
      </c>
      <c r="D198" s="69"/>
      <c r="E198" s="3"/>
      <c r="G198" s="68"/>
      <c r="H198" s="68"/>
      <c r="I198" s="68"/>
      <c r="J198" s="68"/>
      <c r="K198" s="17">
        <v>12828</v>
      </c>
      <c r="L198" s="17">
        <f>1188.25+10914.14-4179.18</f>
        <v>7923.2099999999991</v>
      </c>
      <c r="M198" s="17">
        <f>(M173/12)*(1+SUM([1]Labour!$J$6:$J$8))</f>
        <v>63547.652395941303</v>
      </c>
      <c r="N198" s="17">
        <f>(N173/12)*(1+SUM([1]Labour!$J$6:$J$8))</f>
        <v>75312.651209122429</v>
      </c>
      <c r="O198" s="17">
        <f>(O173/12)*(1+SUM([1]Labour!$J$6:$J$8))</f>
        <v>101246.9881788739</v>
      </c>
      <c r="P198" s="17">
        <f>(P173/12)*(1+SUM([1]Labour!$J$6:$J$8))</f>
        <v>104524.19692632419</v>
      </c>
      <c r="R198" s="28"/>
      <c r="S198" s="10"/>
    </row>
    <row r="199" spans="1:19" ht="15" customHeight="1" outlineLevel="1" x14ac:dyDescent="0.15">
      <c r="A199" s="134"/>
      <c r="C199" s="9" t="s">
        <v>40</v>
      </c>
      <c r="D199" s="9"/>
      <c r="E199" s="3"/>
      <c r="G199" s="64"/>
      <c r="H199" s="64"/>
      <c r="I199" s="64"/>
      <c r="J199" s="64"/>
      <c r="K199" s="15">
        <v>32674</v>
      </c>
      <c r="L199" s="15">
        <v>0</v>
      </c>
      <c r="M199" s="15">
        <v>0</v>
      </c>
      <c r="N199" s="15">
        <v>0</v>
      </c>
      <c r="O199" s="15">
        <v>0</v>
      </c>
      <c r="P199" s="15">
        <v>0</v>
      </c>
      <c r="R199" s="28"/>
      <c r="S199" s="10"/>
    </row>
    <row r="200" spans="1:19" ht="15" customHeight="1" outlineLevel="1" x14ac:dyDescent="0.15">
      <c r="A200" s="134"/>
      <c r="B200" s="27"/>
      <c r="C200" s="9" t="s">
        <v>41</v>
      </c>
      <c r="D200" s="69"/>
      <c r="E200" s="3"/>
      <c r="G200" s="68"/>
      <c r="H200" s="68"/>
      <c r="I200" s="68"/>
      <c r="J200" s="68"/>
      <c r="K200" s="17">
        <f t="shared" ref="K200:P200" si="79">K335</f>
        <v>100000</v>
      </c>
      <c r="L200" s="17">
        <f t="shared" si="79"/>
        <v>0</v>
      </c>
      <c r="M200" s="17">
        <f t="shared" si="79"/>
        <v>0</v>
      </c>
      <c r="N200" s="17">
        <f t="shared" si="79"/>
        <v>0</v>
      </c>
      <c r="O200" s="17">
        <f t="shared" si="79"/>
        <v>0</v>
      </c>
      <c r="P200" s="17">
        <f t="shared" si="79"/>
        <v>0</v>
      </c>
      <c r="S200" s="10"/>
    </row>
    <row r="201" spans="1:19" ht="15" customHeight="1" outlineLevel="1" x14ac:dyDescent="0.15">
      <c r="A201" s="134"/>
      <c r="B201" s="25" t="s">
        <v>42</v>
      </c>
      <c r="C201" s="27"/>
      <c r="D201" s="4"/>
      <c r="E201" s="3"/>
      <c r="G201" s="65"/>
      <c r="H201" s="65"/>
      <c r="I201" s="65"/>
      <c r="J201" s="65"/>
      <c r="K201" s="66">
        <f t="shared" ref="K201:P201" si="80">SUM(K197:K200)</f>
        <v>172741</v>
      </c>
      <c r="L201" s="66">
        <f t="shared" si="80"/>
        <v>9756.369999999999</v>
      </c>
      <c r="M201" s="66">
        <f t="shared" si="80"/>
        <v>87985.038544137875</v>
      </c>
      <c r="N201" s="66">
        <f t="shared" si="80"/>
        <v>102647.48071154176</v>
      </c>
      <c r="O201" s="66">
        <f t="shared" si="80"/>
        <v>134042.2513998677</v>
      </c>
      <c r="P201" s="66">
        <f t="shared" si="80"/>
        <v>143198.74012458877</v>
      </c>
    </row>
    <row r="202" spans="1:19" ht="15" customHeight="1" outlineLevel="1" x14ac:dyDescent="0.15">
      <c r="A202" s="134"/>
      <c r="B202" s="27"/>
      <c r="C202" s="9" t="s">
        <v>43</v>
      </c>
      <c r="D202" s="4"/>
      <c r="E202" s="3"/>
      <c r="G202" s="63"/>
      <c r="H202" s="63"/>
      <c r="I202" s="63"/>
      <c r="J202" s="63"/>
      <c r="K202" s="62">
        <f t="shared" ref="K202:P202" si="81">K296</f>
        <v>0</v>
      </c>
      <c r="L202" s="62">
        <f t="shared" si="81"/>
        <v>0</v>
      </c>
      <c r="M202" s="62">
        <f t="shared" si="81"/>
        <v>0</v>
      </c>
      <c r="N202" s="62">
        <f t="shared" si="81"/>
        <v>0</v>
      </c>
      <c r="O202" s="62">
        <f t="shared" si="81"/>
        <v>0</v>
      </c>
      <c r="P202" s="62">
        <f t="shared" si="81"/>
        <v>0</v>
      </c>
    </row>
    <row r="203" spans="1:19" ht="15" customHeight="1" outlineLevel="1" x14ac:dyDescent="0.15">
      <c r="A203" s="134"/>
      <c r="B203" s="25" t="s">
        <v>44</v>
      </c>
      <c r="C203" s="27"/>
      <c r="D203" s="4"/>
      <c r="E203" s="3"/>
      <c r="G203" s="65"/>
      <c r="H203" s="65"/>
      <c r="I203" s="65"/>
      <c r="J203" s="65"/>
      <c r="K203" s="67">
        <f>K201+K202</f>
        <v>172741</v>
      </c>
      <c r="L203" s="67">
        <f t="shared" ref="L203:P203" si="82">L201+L202</f>
        <v>9756.369999999999</v>
      </c>
      <c r="M203" s="67">
        <f t="shared" si="82"/>
        <v>87985.038544137875</v>
      </c>
      <c r="N203" s="67">
        <f t="shared" si="82"/>
        <v>102647.48071154176</v>
      </c>
      <c r="O203" s="67">
        <f t="shared" si="82"/>
        <v>134042.2513998677</v>
      </c>
      <c r="P203" s="67">
        <f t="shared" si="82"/>
        <v>143198.74012458877</v>
      </c>
    </row>
    <row r="204" spans="1:19" ht="15" customHeight="1" outlineLevel="1" x14ac:dyDescent="0.15">
      <c r="A204" s="134"/>
      <c r="B204" s="30"/>
      <c r="C204" s="27"/>
      <c r="D204" s="4"/>
      <c r="E204" s="3"/>
      <c r="G204" s="68"/>
      <c r="H204" s="68"/>
      <c r="I204" s="68"/>
      <c r="J204" s="59"/>
      <c r="K204" s="59"/>
      <c r="L204" s="68"/>
      <c r="M204" s="68"/>
      <c r="N204" s="68"/>
      <c r="O204" s="68"/>
      <c r="P204" s="68"/>
      <c r="Q204" s="40"/>
    </row>
    <row r="205" spans="1:19" ht="15" customHeight="1" outlineLevel="1" x14ac:dyDescent="0.15">
      <c r="A205" s="134"/>
      <c r="B205" s="25" t="s">
        <v>45</v>
      </c>
      <c r="C205" s="27"/>
      <c r="D205" s="4"/>
      <c r="E205" s="3"/>
      <c r="G205" s="68"/>
      <c r="H205" s="68"/>
      <c r="I205" s="68"/>
      <c r="J205" s="59"/>
      <c r="K205" s="59"/>
      <c r="L205" s="68"/>
      <c r="M205" s="68"/>
      <c r="N205" s="68"/>
      <c r="O205" s="68"/>
      <c r="P205" s="68"/>
      <c r="Q205" s="40"/>
    </row>
    <row r="206" spans="1:19" ht="15" customHeight="1" outlineLevel="1" x14ac:dyDescent="0.15">
      <c r="A206" s="134"/>
      <c r="B206" s="27"/>
      <c r="C206" s="9" t="s">
        <v>46</v>
      </c>
      <c r="D206" s="9"/>
      <c r="E206" s="3"/>
      <c r="G206" s="63"/>
      <c r="H206" s="63"/>
      <c r="I206" s="63"/>
      <c r="J206" s="63"/>
      <c r="K206" s="62">
        <f t="shared" ref="K206:P206" si="83">K194-K203-K208</f>
        <v>323538.98936014215</v>
      </c>
      <c r="L206" s="62">
        <f t="shared" si="83"/>
        <v>688954.63697387371</v>
      </c>
      <c r="M206" s="62">
        <f t="shared" si="83"/>
        <v>1016951.1057434666</v>
      </c>
      <c r="N206" s="62">
        <f t="shared" si="83"/>
        <v>1402493.5971761253</v>
      </c>
      <c r="O206" s="62">
        <f t="shared" si="83"/>
        <v>1976882.7382288198</v>
      </c>
      <c r="P206" s="62">
        <f t="shared" si="83"/>
        <v>3091124.5124565098</v>
      </c>
      <c r="R206" s="28"/>
    </row>
    <row r="207" spans="1:19" ht="15" customHeight="1" outlineLevel="1" x14ac:dyDescent="0.15">
      <c r="A207" s="134"/>
      <c r="B207" s="27"/>
      <c r="C207" s="9" t="s">
        <v>134</v>
      </c>
      <c r="D207" s="9"/>
      <c r="E207" s="3"/>
      <c r="G207" s="63"/>
      <c r="H207" s="63"/>
      <c r="I207" s="63"/>
      <c r="J207" s="63"/>
      <c r="K207" s="62"/>
      <c r="L207" s="62"/>
      <c r="M207" s="62"/>
      <c r="N207" s="62"/>
      <c r="O207" s="62"/>
      <c r="P207" s="62"/>
      <c r="R207" s="28"/>
    </row>
    <row r="208" spans="1:19" ht="15" customHeight="1" outlineLevel="1" x14ac:dyDescent="0.15">
      <c r="A208" s="134"/>
      <c r="B208" s="25"/>
      <c r="C208" s="9" t="s">
        <v>47</v>
      </c>
      <c r="D208" s="9"/>
      <c r="E208" s="3"/>
      <c r="G208" s="63"/>
      <c r="H208" s="63"/>
      <c r="I208" s="63"/>
      <c r="J208" s="63"/>
      <c r="K208" s="62">
        <f>K193-K202</f>
        <v>62142.519230769234</v>
      </c>
      <c r="L208" s="62">
        <f t="shared" ref="L208:P208" si="84">L193-L202</f>
        <v>32745.439999999999</v>
      </c>
      <c r="M208" s="62">
        <f t="shared" si="84"/>
        <v>115151.82692307694</v>
      </c>
      <c r="N208" s="62">
        <f t="shared" si="84"/>
        <v>95947.019230769249</v>
      </c>
      <c r="O208" s="62">
        <f t="shared" si="84"/>
        <v>76742.211538461561</v>
      </c>
      <c r="P208" s="62">
        <f t="shared" si="84"/>
        <v>57537.403846153873</v>
      </c>
      <c r="R208" s="28"/>
    </row>
    <row r="209" spans="1:22" ht="15" customHeight="1" outlineLevel="1" x14ac:dyDescent="0.15">
      <c r="A209" s="137"/>
      <c r="B209" s="25" t="s">
        <v>48</v>
      </c>
      <c r="C209" s="27"/>
      <c r="D209" s="4"/>
      <c r="E209" s="3"/>
      <c r="G209" s="65"/>
      <c r="H209" s="65"/>
      <c r="I209" s="65"/>
      <c r="J209" s="65"/>
      <c r="K209" s="67">
        <f t="shared" ref="K209:P209" si="85">SUM(K206:K208)</f>
        <v>385681.5085909114</v>
      </c>
      <c r="L209" s="67">
        <f t="shared" si="85"/>
        <v>721700.07697387366</v>
      </c>
      <c r="M209" s="67">
        <f t="shared" si="85"/>
        <v>1132102.9326665436</v>
      </c>
      <c r="N209" s="67">
        <f t="shared" si="85"/>
        <v>1498440.6164068945</v>
      </c>
      <c r="O209" s="67">
        <f t="shared" si="85"/>
        <v>2053624.9497672813</v>
      </c>
      <c r="P209" s="67">
        <f t="shared" si="85"/>
        <v>3148661.9163026637</v>
      </c>
    </row>
    <row r="210" spans="1:22" ht="15" customHeight="1" outlineLevel="1" x14ac:dyDescent="0.15">
      <c r="A210" s="134"/>
      <c r="B210" s="29"/>
      <c r="C210" s="27"/>
      <c r="D210" s="4"/>
      <c r="E210" s="3"/>
      <c r="G210" s="24"/>
      <c r="H210" s="24"/>
      <c r="I210" s="24"/>
      <c r="J210" s="61"/>
      <c r="K210" s="61"/>
      <c r="L210" s="70"/>
      <c r="M210" s="70"/>
      <c r="N210" s="70"/>
      <c r="O210" s="70"/>
      <c r="P210" s="70"/>
      <c r="Q210" s="71"/>
    </row>
    <row r="211" spans="1:22" ht="15" customHeight="1" outlineLevel="1" x14ac:dyDescent="0.15">
      <c r="A211" s="134"/>
      <c r="B211" s="27"/>
      <c r="C211" s="26" t="s">
        <v>49</v>
      </c>
      <c r="D211" s="4"/>
      <c r="E211" s="3"/>
      <c r="G211" s="72"/>
      <c r="H211" s="72"/>
      <c r="I211" s="72"/>
      <c r="J211" s="72"/>
      <c r="K211" s="72">
        <f t="shared" ref="K211:P211" si="86">IF(K194-K203-K209=0,0,1)</f>
        <v>0</v>
      </c>
      <c r="L211" s="72">
        <f t="shared" si="86"/>
        <v>0</v>
      </c>
      <c r="M211" s="72">
        <f t="shared" si="86"/>
        <v>0</v>
      </c>
      <c r="N211" s="72">
        <f t="shared" si="86"/>
        <v>0</v>
      </c>
      <c r="O211" s="72">
        <f t="shared" si="86"/>
        <v>0</v>
      </c>
      <c r="P211" s="72">
        <f t="shared" si="86"/>
        <v>0</v>
      </c>
    </row>
    <row r="212" spans="1:22" ht="15.75" customHeight="1" x14ac:dyDescent="0.15">
      <c r="A212" s="134"/>
    </row>
    <row r="213" spans="1:22" ht="15" customHeight="1" x14ac:dyDescent="0.15">
      <c r="A213" s="135"/>
      <c r="B213" s="113" t="s">
        <v>50</v>
      </c>
      <c r="C213" s="113"/>
      <c r="D213" s="113"/>
      <c r="E213" s="145"/>
      <c r="F213" s="112"/>
      <c r="G213" s="112"/>
      <c r="H213" s="112"/>
      <c r="I213" s="112"/>
      <c r="J213" s="117"/>
      <c r="K213" s="117"/>
      <c r="L213" s="117"/>
      <c r="M213" s="118"/>
      <c r="N213" s="119"/>
      <c r="O213" s="119"/>
      <c r="P213" s="119"/>
      <c r="Q213" s="8"/>
      <c r="V213" s="73"/>
    </row>
    <row r="214" spans="1:22" ht="15" customHeight="1" outlineLevel="1" x14ac:dyDescent="0.15">
      <c r="A214" s="134"/>
      <c r="B214" s="4"/>
      <c r="C214" s="4"/>
      <c r="D214" s="4"/>
      <c r="E214" s="3"/>
      <c r="J214" s="60"/>
      <c r="K214" s="60"/>
      <c r="L214" s="43"/>
      <c r="M214" s="7"/>
      <c r="N214" s="7"/>
      <c r="O214" s="7"/>
      <c r="P214" s="7"/>
      <c r="Q214" s="7"/>
    </row>
    <row r="215" spans="1:22" ht="15" customHeight="1" outlineLevel="1" x14ac:dyDescent="0.15">
      <c r="A215" s="134"/>
      <c r="B215" s="25" t="s">
        <v>51</v>
      </c>
      <c r="C215" s="27"/>
      <c r="D215" s="4"/>
      <c r="E215" s="3"/>
      <c r="J215" s="60"/>
      <c r="K215" s="60"/>
      <c r="L215" s="60"/>
      <c r="M215" s="60"/>
      <c r="N215" s="60"/>
      <c r="O215" s="60"/>
      <c r="P215" s="60"/>
      <c r="Q215" s="60"/>
    </row>
    <row r="216" spans="1:22" ht="15" customHeight="1" outlineLevel="1" x14ac:dyDescent="0.15">
      <c r="A216" s="134"/>
      <c r="B216" s="27"/>
      <c r="C216" s="9" t="s">
        <v>52</v>
      </c>
      <c r="D216" s="4"/>
      <c r="E216" s="3"/>
      <c r="G216" s="68"/>
      <c r="H216" s="68"/>
      <c r="I216" s="68"/>
      <c r="J216" s="68"/>
      <c r="K216" s="17">
        <f t="shared" ref="K216:P216" si="87">K182</f>
        <v>385681.5085909114</v>
      </c>
      <c r="L216" s="17">
        <f t="shared" si="87"/>
        <v>437629.76299834694</v>
      </c>
      <c r="M216" s="17">
        <f t="shared" si="87"/>
        <v>308791.66107728524</v>
      </c>
      <c r="N216" s="17">
        <f t="shared" si="87"/>
        <v>366337.68374035117</v>
      </c>
      <c r="O216" s="17">
        <f t="shared" si="87"/>
        <v>555184.33336038655</v>
      </c>
      <c r="P216" s="17">
        <f t="shared" si="87"/>
        <v>1095036.9665353824</v>
      </c>
      <c r="Q216" s="74"/>
    </row>
    <row r="217" spans="1:22" ht="15" customHeight="1" outlineLevel="1" x14ac:dyDescent="0.15">
      <c r="A217" s="134"/>
      <c r="B217" s="27"/>
      <c r="C217" s="9" t="s">
        <v>53</v>
      </c>
      <c r="D217" s="4"/>
      <c r="E217" s="3"/>
      <c r="G217" s="68"/>
      <c r="H217" s="68"/>
      <c r="I217" s="68"/>
      <c r="J217" s="68"/>
      <c r="K217" s="17">
        <f t="shared" ref="K217:P217" si="88">K180</f>
        <v>4223.4807692307695</v>
      </c>
      <c r="L217" s="17">
        <f t="shared" si="88"/>
        <v>13825.884615384615</v>
      </c>
      <c r="M217" s="17">
        <f t="shared" si="88"/>
        <v>19204.807692307691</v>
      </c>
      <c r="N217" s="17">
        <f t="shared" si="88"/>
        <v>19204.807692307691</v>
      </c>
      <c r="O217" s="17">
        <f t="shared" si="88"/>
        <v>19204.807692307691</v>
      </c>
      <c r="P217" s="17">
        <f t="shared" si="88"/>
        <v>19204.807692307691</v>
      </c>
      <c r="Q217" s="74"/>
    </row>
    <row r="218" spans="1:22" ht="15" customHeight="1" outlineLevel="1" x14ac:dyDescent="0.15">
      <c r="A218" s="134"/>
      <c r="B218" s="27"/>
      <c r="C218" s="26" t="s">
        <v>54</v>
      </c>
      <c r="D218" s="4"/>
      <c r="E218" s="3"/>
      <c r="G218" s="68"/>
      <c r="H218" s="68"/>
      <c r="I218" s="68"/>
      <c r="J218" s="59"/>
      <c r="K218" s="20"/>
      <c r="L218" s="17"/>
      <c r="M218" s="17"/>
      <c r="N218" s="17"/>
      <c r="O218" s="17"/>
      <c r="P218" s="17"/>
      <c r="Q218" s="40"/>
    </row>
    <row r="219" spans="1:22" ht="15" customHeight="1" outlineLevel="1" x14ac:dyDescent="0.15">
      <c r="A219" s="134"/>
      <c r="B219" s="27"/>
      <c r="C219" s="9" t="s">
        <v>55</v>
      </c>
      <c r="E219" s="3"/>
      <c r="G219" s="68"/>
      <c r="H219" s="68"/>
      <c r="I219" s="68"/>
      <c r="J219" s="68"/>
      <c r="K219" s="17">
        <f t="shared" ref="K219:P221" si="89">J189-K189</f>
        <v>-23665</v>
      </c>
      <c r="L219" s="17">
        <f t="shared" si="89"/>
        <v>-4999.82</v>
      </c>
      <c r="M219" s="17">
        <f t="shared" si="89"/>
        <v>28664.82</v>
      </c>
      <c r="N219" s="17">
        <f t="shared" si="89"/>
        <v>0</v>
      </c>
      <c r="O219" s="17">
        <f t="shared" si="89"/>
        <v>0</v>
      </c>
      <c r="P219" s="17">
        <f t="shared" si="89"/>
        <v>0</v>
      </c>
      <c r="Q219" s="74"/>
    </row>
    <row r="220" spans="1:22" ht="15" customHeight="1" outlineLevel="1" x14ac:dyDescent="0.15">
      <c r="A220" s="134"/>
      <c r="B220" s="27"/>
      <c r="C220" s="9" t="s">
        <v>56</v>
      </c>
      <c r="E220" s="3"/>
      <c r="G220" s="68"/>
      <c r="H220" s="68"/>
      <c r="I220" s="68"/>
      <c r="J220" s="68"/>
      <c r="K220" s="17">
        <f t="shared" si="89"/>
        <v>0</v>
      </c>
      <c r="L220" s="17">
        <f t="shared" si="89"/>
        <v>0</v>
      </c>
      <c r="M220" s="17">
        <f t="shared" si="89"/>
        <v>-8145.7953827321917</v>
      </c>
      <c r="N220" s="17">
        <f t="shared" si="89"/>
        <v>-965.81445140758751</v>
      </c>
      <c r="O220" s="17">
        <f t="shared" si="89"/>
        <v>-1820.1445728581512</v>
      </c>
      <c r="P220" s="17">
        <f t="shared" si="89"/>
        <v>-1959.7599924235965</v>
      </c>
      <c r="Q220" s="74"/>
    </row>
    <row r="221" spans="1:22" ht="15" customHeight="1" outlineLevel="1" x14ac:dyDescent="0.15">
      <c r="A221" s="134"/>
      <c r="B221" s="27"/>
      <c r="C221" s="9" t="s">
        <v>33</v>
      </c>
      <c r="E221" s="3"/>
      <c r="G221" s="68"/>
      <c r="H221" s="68"/>
      <c r="I221" s="68"/>
      <c r="J221" s="68"/>
      <c r="K221" s="17">
        <f t="shared" si="89"/>
        <v>-4222</v>
      </c>
      <c r="L221" s="17">
        <f t="shared" si="89"/>
        <v>4222</v>
      </c>
      <c r="M221" s="17">
        <f t="shared" si="89"/>
        <v>0</v>
      </c>
      <c r="N221" s="17">
        <f t="shared" si="89"/>
        <v>0</v>
      </c>
      <c r="O221" s="17">
        <f t="shared" si="89"/>
        <v>0</v>
      </c>
      <c r="P221" s="17">
        <f t="shared" si="89"/>
        <v>0</v>
      </c>
      <c r="Q221" s="74"/>
    </row>
    <row r="222" spans="1:22" ht="15" customHeight="1" outlineLevel="1" x14ac:dyDescent="0.15">
      <c r="A222" s="134"/>
      <c r="B222" s="27"/>
      <c r="C222" s="9" t="s">
        <v>38</v>
      </c>
      <c r="E222" s="3"/>
      <c r="G222" s="68"/>
      <c r="H222" s="68"/>
      <c r="I222" s="68"/>
      <c r="J222" s="68"/>
      <c r="K222" s="17">
        <f t="shared" ref="K222:P225" si="90">K197-J197</f>
        <v>27239</v>
      </c>
      <c r="L222" s="17">
        <f t="shared" si="90"/>
        <v>-25405.84</v>
      </c>
      <c r="M222" s="17">
        <f t="shared" si="90"/>
        <v>22604.226148196576</v>
      </c>
      <c r="N222" s="17">
        <f t="shared" si="90"/>
        <v>2897.4433542227598</v>
      </c>
      <c r="O222" s="17">
        <f t="shared" si="90"/>
        <v>5460.4337185744516</v>
      </c>
      <c r="P222" s="17">
        <f t="shared" si="90"/>
        <v>5879.2799772707949</v>
      </c>
      <c r="Q222" s="74"/>
    </row>
    <row r="223" spans="1:22" ht="15" customHeight="1" outlineLevel="1" x14ac:dyDescent="0.15">
      <c r="A223" s="134"/>
      <c r="B223" s="27"/>
      <c r="C223" s="9" t="s">
        <v>39</v>
      </c>
      <c r="E223" s="3"/>
      <c r="G223" s="68"/>
      <c r="H223" s="68"/>
      <c r="I223" s="68"/>
      <c r="J223" s="68"/>
      <c r="K223" s="17">
        <f t="shared" si="90"/>
        <v>12828</v>
      </c>
      <c r="L223" s="17">
        <f t="shared" si="90"/>
        <v>-4904.7900000000009</v>
      </c>
      <c r="M223" s="17">
        <f t="shared" si="90"/>
        <v>55624.442395941303</v>
      </c>
      <c r="N223" s="17">
        <f t="shared" si="90"/>
        <v>11764.998813181126</v>
      </c>
      <c r="O223" s="17">
        <f t="shared" si="90"/>
        <v>25934.336969751472</v>
      </c>
      <c r="P223" s="17">
        <f t="shared" si="90"/>
        <v>3277.2087474502914</v>
      </c>
      <c r="Q223" s="74"/>
    </row>
    <row r="224" spans="1:22" ht="15" customHeight="1" outlineLevel="1" x14ac:dyDescent="0.15">
      <c r="A224" s="134"/>
      <c r="B224" s="27"/>
      <c r="C224" s="9" t="s">
        <v>57</v>
      </c>
      <c r="E224" s="3"/>
      <c r="G224" s="68"/>
      <c r="H224" s="68"/>
      <c r="I224" s="68"/>
      <c r="J224" s="68"/>
      <c r="K224" s="17">
        <f t="shared" si="90"/>
        <v>32674</v>
      </c>
      <c r="L224" s="17">
        <f t="shared" si="90"/>
        <v>-32674</v>
      </c>
      <c r="M224" s="17">
        <f t="shared" si="90"/>
        <v>0</v>
      </c>
      <c r="N224" s="17">
        <f t="shared" si="90"/>
        <v>0</v>
      </c>
      <c r="O224" s="17">
        <f t="shared" si="90"/>
        <v>0</v>
      </c>
      <c r="P224" s="17">
        <f t="shared" si="90"/>
        <v>0</v>
      </c>
      <c r="Q224" s="74"/>
    </row>
    <row r="225" spans="1:19" ht="15" customHeight="1" outlineLevel="1" x14ac:dyDescent="0.15">
      <c r="A225" s="134"/>
      <c r="B225" s="27"/>
      <c r="C225" s="9" t="s">
        <v>58</v>
      </c>
      <c r="E225" s="3"/>
      <c r="G225" s="68"/>
      <c r="H225" s="68"/>
      <c r="I225" s="68"/>
      <c r="J225" s="68"/>
      <c r="K225" s="17">
        <f t="shared" si="90"/>
        <v>100000</v>
      </c>
      <c r="L225" s="17">
        <f t="shared" si="90"/>
        <v>-100000</v>
      </c>
      <c r="M225" s="17">
        <f t="shared" si="90"/>
        <v>0</v>
      </c>
      <c r="N225" s="17">
        <f t="shared" si="90"/>
        <v>0</v>
      </c>
      <c r="O225" s="17">
        <f t="shared" si="90"/>
        <v>0</v>
      </c>
      <c r="P225" s="17">
        <f t="shared" si="90"/>
        <v>0</v>
      </c>
      <c r="Q225" s="74"/>
      <c r="S225" s="10"/>
    </row>
    <row r="226" spans="1:19" ht="15" customHeight="1" outlineLevel="1" x14ac:dyDescent="0.15">
      <c r="A226" s="134"/>
      <c r="B226" s="25" t="s">
        <v>59</v>
      </c>
      <c r="C226" s="27"/>
      <c r="D226" s="4"/>
      <c r="E226" s="3"/>
      <c r="G226" s="59"/>
      <c r="H226" s="59"/>
      <c r="I226" s="59"/>
      <c r="J226" s="59"/>
      <c r="K226" s="58">
        <f t="shared" ref="K226:P226" si="91">SUM(K216:K225)</f>
        <v>534758.98936014215</v>
      </c>
      <c r="L226" s="66">
        <f t="shared" si="91"/>
        <v>287693.19761373155</v>
      </c>
      <c r="M226" s="66">
        <f t="shared" si="91"/>
        <v>426744.16193099861</v>
      </c>
      <c r="N226" s="66">
        <f t="shared" si="91"/>
        <v>399239.11914865515</v>
      </c>
      <c r="O226" s="66">
        <f t="shared" si="91"/>
        <v>603963.76716816216</v>
      </c>
      <c r="P226" s="66">
        <f t="shared" si="91"/>
        <v>1121438.5029599876</v>
      </c>
      <c r="Q226" s="75"/>
    </row>
    <row r="227" spans="1:19" ht="15" customHeight="1" outlineLevel="1" x14ac:dyDescent="0.15">
      <c r="A227" s="134"/>
      <c r="B227" s="29"/>
      <c r="C227" s="27"/>
      <c r="D227" s="4"/>
      <c r="E227" s="3"/>
      <c r="G227" s="68"/>
      <c r="H227" s="68"/>
      <c r="I227" s="68"/>
      <c r="J227" s="59"/>
      <c r="K227" s="59"/>
      <c r="L227" s="68"/>
      <c r="M227" s="68"/>
      <c r="N227" s="68"/>
      <c r="O227" s="68"/>
      <c r="P227" s="68"/>
      <c r="Q227" s="40"/>
    </row>
    <row r="228" spans="1:19" ht="15" customHeight="1" outlineLevel="1" x14ac:dyDescent="0.15">
      <c r="A228" s="134"/>
      <c r="B228" s="25" t="s">
        <v>60</v>
      </c>
      <c r="C228" s="27"/>
      <c r="D228" s="4"/>
      <c r="E228" s="3"/>
      <c r="G228" s="68"/>
      <c r="H228" s="68"/>
      <c r="I228" s="68"/>
      <c r="J228" s="59"/>
      <c r="K228" s="59"/>
      <c r="L228" s="68"/>
      <c r="M228" s="68"/>
      <c r="N228" s="68"/>
      <c r="O228" s="68"/>
      <c r="P228" s="68"/>
      <c r="Q228" s="40"/>
    </row>
    <row r="229" spans="1:19" ht="15" customHeight="1" outlineLevel="1" x14ac:dyDescent="0.15">
      <c r="A229" s="134"/>
      <c r="B229" s="27"/>
      <c r="C229" s="9" t="s">
        <v>61</v>
      </c>
      <c r="D229" s="9"/>
      <c r="E229" s="3"/>
      <c r="G229" s="68"/>
      <c r="H229" s="68"/>
      <c r="I229" s="68"/>
      <c r="J229" s="68"/>
      <c r="K229" s="17">
        <f t="shared" ref="K229:P229" si="92">-K305-K306</f>
        <v>-66366</v>
      </c>
      <c r="L229" s="17">
        <f t="shared" si="92"/>
        <v>-86040</v>
      </c>
      <c r="M229" s="17">
        <f t="shared" si="92"/>
        <v>0</v>
      </c>
      <c r="N229" s="17">
        <f t="shared" si="92"/>
        <v>0</v>
      </c>
      <c r="O229" s="17">
        <f t="shared" si="92"/>
        <v>0</v>
      </c>
      <c r="P229" s="17">
        <f t="shared" si="92"/>
        <v>0</v>
      </c>
      <c r="Q229" s="74"/>
    </row>
    <row r="230" spans="1:19" ht="15" customHeight="1" outlineLevel="1" x14ac:dyDescent="0.15">
      <c r="A230" s="134"/>
      <c r="B230" s="25" t="s">
        <v>62</v>
      </c>
      <c r="C230" s="27"/>
      <c r="D230" s="4"/>
      <c r="E230" s="3"/>
      <c r="G230" s="59"/>
      <c r="H230" s="59"/>
      <c r="I230" s="59"/>
      <c r="J230" s="59"/>
      <c r="K230" s="58">
        <f t="shared" ref="K230:P230" si="93">SUM(K229)</f>
        <v>-66366</v>
      </c>
      <c r="L230" s="66">
        <f t="shared" si="93"/>
        <v>-86040</v>
      </c>
      <c r="M230" s="66">
        <f t="shared" si="93"/>
        <v>0</v>
      </c>
      <c r="N230" s="66">
        <f t="shared" si="93"/>
        <v>0</v>
      </c>
      <c r="O230" s="66">
        <f t="shared" si="93"/>
        <v>0</v>
      </c>
      <c r="P230" s="66">
        <f t="shared" si="93"/>
        <v>0</v>
      </c>
      <c r="Q230" s="75"/>
    </row>
    <row r="231" spans="1:19" ht="15" customHeight="1" outlineLevel="1" x14ac:dyDescent="0.15">
      <c r="A231" s="134"/>
      <c r="B231" s="29"/>
      <c r="C231" s="27"/>
      <c r="D231" s="4"/>
      <c r="E231" s="3"/>
      <c r="G231" s="68"/>
      <c r="H231" s="68"/>
      <c r="I231" s="68"/>
      <c r="J231" s="59"/>
      <c r="K231" s="59"/>
      <c r="L231" s="68"/>
      <c r="M231" s="68"/>
      <c r="N231" s="68"/>
      <c r="O231" s="68"/>
      <c r="P231" s="68"/>
      <c r="Q231" s="40"/>
    </row>
    <row r="232" spans="1:19" ht="15" customHeight="1" outlineLevel="1" x14ac:dyDescent="0.15">
      <c r="A232" s="134"/>
      <c r="B232" s="25" t="s">
        <v>63</v>
      </c>
      <c r="C232" s="27"/>
      <c r="D232" s="4"/>
      <c r="E232" s="3"/>
      <c r="G232" s="68"/>
      <c r="H232" s="68"/>
      <c r="I232" s="68"/>
      <c r="J232" s="59"/>
      <c r="K232" s="59"/>
      <c r="L232" s="68"/>
      <c r="M232" s="68"/>
      <c r="N232" s="68"/>
      <c r="O232" s="68"/>
      <c r="P232" s="68"/>
      <c r="Q232" s="40"/>
    </row>
    <row r="233" spans="1:19" ht="15" customHeight="1" outlineLevel="1" x14ac:dyDescent="0.15">
      <c r="A233" s="134"/>
      <c r="B233" s="27"/>
      <c r="C233" s="9" t="s">
        <v>64</v>
      </c>
      <c r="D233" s="9"/>
      <c r="E233" s="3"/>
      <c r="G233" s="68"/>
      <c r="H233" s="68"/>
      <c r="I233" s="68"/>
      <c r="J233" s="68"/>
      <c r="K233" s="17">
        <f t="shared" ref="K233:P233" si="94">K296-J296</f>
        <v>0</v>
      </c>
      <c r="L233" s="17">
        <f t="shared" si="94"/>
        <v>0</v>
      </c>
      <c r="M233" s="17">
        <f t="shared" si="94"/>
        <v>0</v>
      </c>
      <c r="N233" s="17">
        <f t="shared" si="94"/>
        <v>0</v>
      </c>
      <c r="O233" s="17">
        <f t="shared" si="94"/>
        <v>0</v>
      </c>
      <c r="P233" s="17">
        <f t="shared" si="94"/>
        <v>0</v>
      </c>
      <c r="Q233" s="74"/>
    </row>
    <row r="234" spans="1:19" ht="15" customHeight="1" outlineLevel="1" x14ac:dyDescent="0.15">
      <c r="A234" s="134"/>
      <c r="B234" s="25" t="s">
        <v>65</v>
      </c>
      <c r="C234" s="27"/>
      <c r="D234" s="4"/>
      <c r="E234" s="3"/>
      <c r="G234" s="59"/>
      <c r="H234" s="59"/>
      <c r="I234" s="59"/>
      <c r="J234" s="59"/>
      <c r="K234" s="58">
        <f t="shared" ref="K234:P234" si="95">SUM(K233)</f>
        <v>0</v>
      </c>
      <c r="L234" s="66">
        <f t="shared" si="95"/>
        <v>0</v>
      </c>
      <c r="M234" s="66">
        <f t="shared" si="95"/>
        <v>0</v>
      </c>
      <c r="N234" s="66">
        <f t="shared" si="95"/>
        <v>0</v>
      </c>
      <c r="O234" s="66">
        <f t="shared" si="95"/>
        <v>0</v>
      </c>
      <c r="P234" s="66">
        <f t="shared" si="95"/>
        <v>0</v>
      </c>
      <c r="Q234" s="75"/>
    </row>
    <row r="235" spans="1:19" ht="15" customHeight="1" outlineLevel="1" x14ac:dyDescent="0.15">
      <c r="A235" s="134"/>
      <c r="B235" s="29"/>
      <c r="C235" s="27"/>
      <c r="D235" s="4"/>
      <c r="E235" s="3"/>
      <c r="G235" s="68"/>
      <c r="H235" s="68"/>
      <c r="I235" s="68"/>
      <c r="J235" s="59"/>
      <c r="K235" s="59"/>
      <c r="L235" s="68"/>
      <c r="M235" s="68"/>
      <c r="N235" s="68"/>
      <c r="O235" s="68"/>
      <c r="P235" s="68"/>
      <c r="Q235" s="40"/>
    </row>
    <row r="236" spans="1:19" ht="15" customHeight="1" outlineLevel="1" x14ac:dyDescent="0.15">
      <c r="A236" s="134"/>
      <c r="B236" s="25" t="s">
        <v>66</v>
      </c>
      <c r="C236" s="27"/>
      <c r="D236" s="4"/>
      <c r="E236" s="3"/>
      <c r="G236" s="68"/>
      <c r="H236" s="68"/>
      <c r="I236" s="68"/>
      <c r="J236" s="59"/>
      <c r="K236" s="59"/>
      <c r="L236" s="68"/>
      <c r="M236" s="68"/>
      <c r="N236" s="68"/>
      <c r="O236" s="68"/>
      <c r="P236" s="68"/>
      <c r="Q236" s="40"/>
    </row>
    <row r="237" spans="1:19" ht="15" customHeight="1" outlineLevel="1" x14ac:dyDescent="0.15">
      <c r="A237" s="134"/>
      <c r="B237" s="27"/>
      <c r="C237" s="9" t="s">
        <v>67</v>
      </c>
      <c r="D237" s="4"/>
      <c r="E237" s="3"/>
      <c r="G237" s="68"/>
      <c r="H237" s="68"/>
      <c r="I237" s="68"/>
      <c r="J237" s="68"/>
      <c r="K237" s="17">
        <f t="shared" ref="K237:P237" si="96">J238</f>
        <v>0</v>
      </c>
      <c r="L237" s="17">
        <f t="shared" si="96"/>
        <v>468392.98936014215</v>
      </c>
      <c r="M237" s="17">
        <f t="shared" si="96"/>
        <v>670046.18697387376</v>
      </c>
      <c r="N237" s="17">
        <f t="shared" si="96"/>
        <v>1096790.3489048723</v>
      </c>
      <c r="O237" s="17">
        <f t="shared" si="96"/>
        <v>1496029.4680535274</v>
      </c>
      <c r="P237" s="17">
        <f t="shared" si="96"/>
        <v>2099993.2352216896</v>
      </c>
      <c r="Q237" s="74"/>
    </row>
    <row r="238" spans="1:19" ht="15" customHeight="1" outlineLevel="1" x14ac:dyDescent="0.15">
      <c r="A238" s="134"/>
      <c r="B238" s="25" t="s">
        <v>68</v>
      </c>
      <c r="C238" s="9"/>
      <c r="D238" s="4"/>
      <c r="E238" s="3"/>
      <c r="G238" s="59"/>
      <c r="H238" s="59"/>
      <c r="I238" s="59"/>
      <c r="J238" s="59"/>
      <c r="K238" s="58">
        <f t="shared" ref="K238:P238" si="97">K237+K226+K230+K234</f>
        <v>468392.98936014215</v>
      </c>
      <c r="L238" s="66">
        <f t="shared" si="97"/>
        <v>670046.18697387376</v>
      </c>
      <c r="M238" s="66">
        <f t="shared" si="97"/>
        <v>1096790.3489048723</v>
      </c>
      <c r="N238" s="66">
        <f t="shared" si="97"/>
        <v>1496029.4680535274</v>
      </c>
      <c r="O238" s="66">
        <f t="shared" si="97"/>
        <v>2099993.2352216896</v>
      </c>
      <c r="P238" s="66">
        <f t="shared" si="97"/>
        <v>3221431.7381816772</v>
      </c>
      <c r="Q238" s="74"/>
    </row>
    <row r="239" spans="1:19" ht="15.75" customHeight="1" outlineLevel="1" x14ac:dyDescent="0.15">
      <c r="A239" s="134"/>
      <c r="K239" s="24"/>
      <c r="L239" s="24"/>
      <c r="M239" s="24"/>
      <c r="N239" s="24"/>
      <c r="O239" s="24"/>
      <c r="P239" s="24"/>
    </row>
    <row r="240" spans="1:19" ht="13.5" customHeight="1" x14ac:dyDescent="0.15">
      <c r="A240" s="138" t="s">
        <v>0</v>
      </c>
      <c r="K240" s="24"/>
      <c r="L240" s="24"/>
      <c r="M240" s="24"/>
      <c r="N240" s="24"/>
      <c r="O240" s="24"/>
      <c r="P240" s="24"/>
    </row>
    <row r="241" spans="1:19" ht="15.75" customHeight="1" x14ac:dyDescent="0.15">
      <c r="A241" s="135"/>
      <c r="B241" s="113" t="s">
        <v>69</v>
      </c>
      <c r="C241" s="113"/>
      <c r="D241" s="113"/>
      <c r="E241" s="145"/>
      <c r="F241" s="112"/>
      <c r="G241" s="112"/>
      <c r="H241" s="112"/>
      <c r="I241" s="112"/>
      <c r="J241" s="112"/>
      <c r="K241" s="117"/>
      <c r="L241" s="117"/>
      <c r="M241" s="120"/>
      <c r="N241" s="121"/>
      <c r="O241" s="121"/>
      <c r="P241" s="121"/>
      <c r="Q241" s="8"/>
    </row>
    <row r="242" spans="1:19" ht="15.75" customHeight="1" outlineLevel="1" x14ac:dyDescent="0.15">
      <c r="A242" s="138"/>
      <c r="B242" s="33"/>
      <c r="C242" s="33"/>
      <c r="D242" s="5"/>
      <c r="E242" s="146"/>
      <c r="F242" s="6"/>
      <c r="G242" s="6"/>
      <c r="H242" s="6"/>
      <c r="I242" s="6"/>
      <c r="J242" s="6"/>
      <c r="K242" s="7"/>
      <c r="L242" s="43"/>
      <c r="M242" s="7"/>
      <c r="N242" s="7"/>
      <c r="O242" s="7"/>
      <c r="P242" s="7"/>
      <c r="Q242" s="7"/>
    </row>
    <row r="243" spans="1:19" ht="15.75" customHeight="1" outlineLevel="1" x14ac:dyDescent="0.15">
      <c r="A243" s="134"/>
      <c r="C243" s="9" t="s">
        <v>70</v>
      </c>
      <c r="D243" s="10"/>
      <c r="E243" s="22"/>
      <c r="F243" s="14"/>
      <c r="G243" s="14"/>
      <c r="H243" s="14"/>
      <c r="I243" s="14"/>
      <c r="J243" s="14"/>
      <c r="K243" s="45">
        <v>365</v>
      </c>
      <c r="L243" s="16">
        <v>365</v>
      </c>
      <c r="M243" s="16">
        <v>365</v>
      </c>
      <c r="N243" s="16">
        <v>365</v>
      </c>
      <c r="O243" s="16">
        <v>365</v>
      </c>
      <c r="P243" s="46">
        <v>365</v>
      </c>
      <c r="Q243" s="76"/>
    </row>
    <row r="244" spans="1:19" ht="15.75" customHeight="1" outlineLevel="1" x14ac:dyDescent="0.15">
      <c r="A244" s="134"/>
      <c r="C244" s="9" t="s">
        <v>7</v>
      </c>
      <c r="K244" s="77">
        <f t="shared" ref="K244:P244" si="98">IFERROR(K18,"NA")</f>
        <v>970200</v>
      </c>
      <c r="L244" s="35">
        <f t="shared" si="98"/>
        <v>1329300</v>
      </c>
      <c r="M244" s="35">
        <f t="shared" si="98"/>
        <v>1236725</v>
      </c>
      <c r="N244" s="35">
        <f t="shared" si="98"/>
        <v>1536150</v>
      </c>
      <c r="O244" s="35">
        <f t="shared" si="98"/>
        <v>2122575</v>
      </c>
      <c r="P244" s="78">
        <f t="shared" si="98"/>
        <v>2800000</v>
      </c>
      <c r="Q244" s="35"/>
    </row>
    <row r="245" spans="1:19" ht="15.75" customHeight="1" outlineLevel="1" x14ac:dyDescent="0.15">
      <c r="A245" s="134"/>
      <c r="C245" s="9" t="s">
        <v>71</v>
      </c>
      <c r="K245" s="79">
        <f t="shared" ref="K245:P245" si="99">K168</f>
        <v>223224.73</v>
      </c>
      <c r="L245" s="80">
        <f t="shared" si="99"/>
        <v>596399.62057999999</v>
      </c>
      <c r="M245" s="80">
        <f t="shared" si="99"/>
        <v>594643.06293945003</v>
      </c>
      <c r="N245" s="80">
        <f t="shared" si="99"/>
        <v>665147.51789220388</v>
      </c>
      <c r="O245" s="80">
        <f t="shared" si="99"/>
        <v>798018.07171084895</v>
      </c>
      <c r="P245" s="81">
        <f t="shared" si="99"/>
        <v>941080.55115777149</v>
      </c>
      <c r="Q245" s="35"/>
    </row>
    <row r="246" spans="1:19" ht="15.75" customHeight="1" outlineLevel="1" x14ac:dyDescent="0.15">
      <c r="A246" s="134"/>
      <c r="C246" s="2"/>
      <c r="D246" s="4"/>
      <c r="E246" s="3"/>
      <c r="K246" s="24"/>
      <c r="L246" s="24"/>
      <c r="M246" s="11"/>
      <c r="N246" s="11"/>
      <c r="O246" s="11"/>
      <c r="P246" s="11"/>
      <c r="Q246" s="40"/>
    </row>
    <row r="247" spans="1:19" ht="15.75" customHeight="1" outlineLevel="1" x14ac:dyDescent="0.15">
      <c r="A247" s="134"/>
      <c r="C247" s="2"/>
      <c r="D247" s="4"/>
      <c r="E247" s="3"/>
      <c r="K247" s="24"/>
      <c r="L247" s="24"/>
      <c r="M247" s="11"/>
      <c r="N247" s="11"/>
      <c r="O247" s="11"/>
      <c r="P247" s="11"/>
      <c r="Q247" s="40"/>
    </row>
    <row r="248" spans="1:19" ht="15.75" customHeight="1" outlineLevel="1" x14ac:dyDescent="0.15">
      <c r="A248" s="134"/>
      <c r="B248" s="25"/>
      <c r="C248" s="2"/>
      <c r="D248" s="4"/>
      <c r="E248" s="3"/>
      <c r="K248" s="24"/>
      <c r="L248" s="24"/>
      <c r="M248" s="11"/>
      <c r="N248" s="11"/>
      <c r="O248" s="11"/>
      <c r="P248" s="11"/>
      <c r="Q248" s="40"/>
    </row>
    <row r="249" spans="1:19" ht="15.75" customHeight="1" outlineLevel="1" x14ac:dyDescent="0.15">
      <c r="A249" s="134"/>
      <c r="C249" s="2" t="s">
        <v>72</v>
      </c>
      <c r="E249" s="14" t="s">
        <v>73</v>
      </c>
      <c r="K249" s="15">
        <v>0</v>
      </c>
      <c r="L249" s="15">
        <v>0</v>
      </c>
      <c r="M249" s="15">
        <v>0</v>
      </c>
      <c r="N249" s="15">
        <v>0</v>
      </c>
      <c r="O249" s="15">
        <v>0</v>
      </c>
      <c r="P249" s="15">
        <v>0</v>
      </c>
      <c r="Q249" s="76"/>
      <c r="S249" s="10"/>
    </row>
    <row r="250" spans="1:19" ht="15.75" customHeight="1" outlineLevel="1" x14ac:dyDescent="0.15">
      <c r="A250" s="134"/>
      <c r="C250" s="195" t="s">
        <v>32</v>
      </c>
      <c r="E250" s="14" t="s">
        <v>73</v>
      </c>
      <c r="K250" s="15">
        <v>0</v>
      </c>
      <c r="L250" s="15">
        <v>0</v>
      </c>
      <c r="M250" s="15">
        <v>5</v>
      </c>
      <c r="N250" s="15">
        <v>5</v>
      </c>
      <c r="O250" s="15">
        <v>5</v>
      </c>
      <c r="P250" s="15">
        <v>5</v>
      </c>
      <c r="Q250" s="76"/>
      <c r="S250" s="10"/>
    </row>
    <row r="251" spans="1:19" ht="15.75" customHeight="1" outlineLevel="1" x14ac:dyDescent="0.15">
      <c r="A251" s="134"/>
      <c r="C251" s="2" t="s">
        <v>74</v>
      </c>
      <c r="E251" s="14" t="s">
        <v>73</v>
      </c>
      <c r="K251" s="15">
        <v>15</v>
      </c>
      <c r="L251" s="15">
        <v>15</v>
      </c>
      <c r="M251" s="15">
        <v>15</v>
      </c>
      <c r="N251" s="15">
        <v>15</v>
      </c>
      <c r="O251" s="15">
        <v>15</v>
      </c>
      <c r="P251" s="15">
        <v>15</v>
      </c>
      <c r="Q251" s="76"/>
      <c r="S251" s="10"/>
    </row>
    <row r="252" spans="1:19" ht="15.75" customHeight="1" outlineLevel="1" x14ac:dyDescent="0.15">
      <c r="A252" s="134"/>
      <c r="C252" s="2"/>
      <c r="F252" s="14"/>
      <c r="G252" s="14"/>
      <c r="H252" s="14"/>
      <c r="I252" s="14"/>
      <c r="J252" s="14"/>
      <c r="K252" s="82"/>
      <c r="L252" s="82"/>
      <c r="M252" s="39"/>
      <c r="N252" s="39"/>
      <c r="O252" s="39"/>
      <c r="P252" s="39"/>
      <c r="Q252" s="76"/>
    </row>
    <row r="253" spans="1:19" ht="15.75" customHeight="1" outlineLevel="1" x14ac:dyDescent="0.15">
      <c r="A253" s="134"/>
      <c r="C253" s="2"/>
      <c r="F253" s="14"/>
      <c r="G253" s="14"/>
      <c r="H253" s="14"/>
      <c r="I253" s="14"/>
      <c r="J253" s="14"/>
      <c r="K253" s="82"/>
      <c r="L253" s="82"/>
      <c r="M253" s="39"/>
      <c r="N253" s="39"/>
      <c r="O253" s="39"/>
      <c r="P253" s="39"/>
      <c r="Q253" s="76"/>
    </row>
    <row r="254" spans="1:19" ht="15.75" customHeight="1" outlineLevel="1" x14ac:dyDescent="0.15">
      <c r="A254" s="134"/>
      <c r="B254" s="4" t="s">
        <v>75</v>
      </c>
      <c r="C254" s="21"/>
      <c r="D254" s="4"/>
      <c r="E254" s="3"/>
      <c r="K254" s="24"/>
      <c r="L254" s="24"/>
      <c r="M254" s="11"/>
      <c r="N254" s="11"/>
      <c r="O254" s="11"/>
      <c r="P254" s="11"/>
      <c r="Q254" s="40"/>
    </row>
    <row r="255" spans="1:19" ht="15.75" customHeight="1" outlineLevel="1" x14ac:dyDescent="0.15">
      <c r="A255" s="134"/>
      <c r="C255" s="2" t="s">
        <v>72</v>
      </c>
      <c r="K255" s="62">
        <v>27887</v>
      </c>
      <c r="L255" s="62">
        <f t="shared" ref="K255:P255" si="100">IFERROR(L249/L243*L244,"NA")</f>
        <v>0</v>
      </c>
      <c r="M255" s="62">
        <f t="shared" si="100"/>
        <v>0</v>
      </c>
      <c r="N255" s="62">
        <f t="shared" si="100"/>
        <v>0</v>
      </c>
      <c r="O255" s="62">
        <f t="shared" si="100"/>
        <v>0</v>
      </c>
      <c r="P255" s="62">
        <f t="shared" si="100"/>
        <v>0</v>
      </c>
      <c r="Q255" s="35"/>
    </row>
    <row r="256" spans="1:19" ht="15.75" customHeight="1" outlineLevel="1" x14ac:dyDescent="0.15">
      <c r="A256" s="134"/>
      <c r="C256" s="2" t="s">
        <v>32</v>
      </c>
      <c r="K256" s="62">
        <f t="shared" ref="K256:P256" si="101">IFERROR(K250/K243*K245,"NA")</f>
        <v>0</v>
      </c>
      <c r="L256" s="62">
        <f t="shared" si="101"/>
        <v>0</v>
      </c>
      <c r="M256" s="62">
        <f t="shared" si="101"/>
        <v>8145.7953827321917</v>
      </c>
      <c r="N256" s="62">
        <f t="shared" si="101"/>
        <v>9111.6098341397792</v>
      </c>
      <c r="O256" s="62">
        <f t="shared" si="101"/>
        <v>10931.75440699793</v>
      </c>
      <c r="P256" s="62">
        <f t="shared" si="101"/>
        <v>12891.514399421527</v>
      </c>
      <c r="Q256" s="35"/>
    </row>
    <row r="257" spans="1:21" ht="15.75" customHeight="1" outlineLevel="1" x14ac:dyDescent="0.15">
      <c r="A257" s="134"/>
      <c r="C257" s="2" t="s">
        <v>74</v>
      </c>
      <c r="K257" s="62">
        <v>72741</v>
      </c>
      <c r="L257" s="62">
        <f t="shared" ref="K257:P257" si="102">IFERROR(L251/L243*L245,"NA")</f>
        <v>24509.573448493149</v>
      </c>
      <c r="M257" s="62">
        <f t="shared" si="102"/>
        <v>24437.386148196576</v>
      </c>
      <c r="N257" s="62">
        <f t="shared" si="102"/>
        <v>27334.829502419336</v>
      </c>
      <c r="O257" s="62">
        <f t="shared" si="102"/>
        <v>32795.263220993787</v>
      </c>
      <c r="P257" s="62">
        <f t="shared" si="102"/>
        <v>38674.543198264582</v>
      </c>
      <c r="Q257" s="35"/>
    </row>
    <row r="258" spans="1:21" ht="15.75" customHeight="1" outlineLevel="1" x14ac:dyDescent="0.15">
      <c r="A258" s="134"/>
      <c r="C258" s="21"/>
      <c r="D258" s="4"/>
      <c r="E258" s="3"/>
      <c r="K258" s="17"/>
      <c r="L258" s="17"/>
      <c r="M258" s="17"/>
      <c r="N258" s="17"/>
      <c r="O258" s="17"/>
      <c r="P258" s="17"/>
      <c r="Q258" s="40"/>
    </row>
    <row r="259" spans="1:21" ht="15.75" customHeight="1" outlineLevel="1" x14ac:dyDescent="0.15">
      <c r="A259" s="134"/>
      <c r="C259" s="21"/>
      <c r="D259" s="4"/>
      <c r="E259" s="3"/>
      <c r="K259" s="17"/>
      <c r="L259" s="17"/>
      <c r="M259" s="17"/>
      <c r="N259" s="17"/>
      <c r="O259" s="17"/>
      <c r="P259" s="17"/>
      <c r="Q259" s="40"/>
    </row>
    <row r="260" spans="1:21" ht="15.75" customHeight="1" outlineLevel="1" x14ac:dyDescent="0.15">
      <c r="A260" s="134"/>
      <c r="B260" s="4" t="s">
        <v>76</v>
      </c>
      <c r="C260" s="21"/>
      <c r="D260" s="4"/>
      <c r="E260" s="3"/>
      <c r="K260" s="17"/>
      <c r="L260" s="17"/>
      <c r="M260" s="17"/>
      <c r="N260" s="17"/>
      <c r="O260" s="17"/>
      <c r="P260" s="17"/>
      <c r="Q260" s="40"/>
    </row>
    <row r="261" spans="1:21" ht="15.75" customHeight="1" outlineLevel="1" x14ac:dyDescent="0.15">
      <c r="A261" s="134"/>
      <c r="C261" s="2" t="s">
        <v>77</v>
      </c>
      <c r="K261" s="62">
        <f t="shared" ref="K261:P261" si="103">IFERROR(K255+K256,"NA")</f>
        <v>27887</v>
      </c>
      <c r="L261" s="62">
        <f t="shared" si="103"/>
        <v>0</v>
      </c>
      <c r="M261" s="62">
        <f t="shared" si="103"/>
        <v>8145.7953827321917</v>
      </c>
      <c r="N261" s="62">
        <f t="shared" si="103"/>
        <v>9111.6098341397792</v>
      </c>
      <c r="O261" s="62">
        <f t="shared" si="103"/>
        <v>10931.75440699793</v>
      </c>
      <c r="P261" s="62">
        <f t="shared" si="103"/>
        <v>12891.514399421527</v>
      </c>
      <c r="Q261" s="35"/>
    </row>
    <row r="262" spans="1:21" ht="15.75" customHeight="1" outlineLevel="1" x14ac:dyDescent="0.15">
      <c r="A262" s="134"/>
      <c r="C262" s="2" t="s">
        <v>78</v>
      </c>
      <c r="K262" s="83">
        <f t="shared" ref="K262:P262" si="104">IFERROR(K257,"NA")</f>
        <v>72741</v>
      </c>
      <c r="L262" s="83">
        <f t="shared" si="104"/>
        <v>24509.573448493149</v>
      </c>
      <c r="M262" s="83">
        <f t="shared" si="104"/>
        <v>24437.386148196576</v>
      </c>
      <c r="N262" s="83">
        <f t="shared" si="104"/>
        <v>27334.829502419336</v>
      </c>
      <c r="O262" s="83">
        <f t="shared" si="104"/>
        <v>32795.263220993787</v>
      </c>
      <c r="P262" s="83">
        <f t="shared" si="104"/>
        <v>38674.543198264582</v>
      </c>
      <c r="Q262" s="35"/>
    </row>
    <row r="263" spans="1:21" ht="15.75" customHeight="1" outlineLevel="1" x14ac:dyDescent="0.15">
      <c r="A263" s="134"/>
      <c r="C263" s="2" t="s">
        <v>76</v>
      </c>
      <c r="K263" s="62">
        <f t="shared" ref="K263:P263" si="105">IFERROR(K261-K262,"NA")</f>
        <v>-44854</v>
      </c>
      <c r="L263" s="62">
        <f t="shared" si="105"/>
        <v>-24509.573448493149</v>
      </c>
      <c r="M263" s="62">
        <f t="shared" si="105"/>
        <v>-16291.590765464385</v>
      </c>
      <c r="N263" s="62">
        <f t="shared" si="105"/>
        <v>-18223.219668279555</v>
      </c>
      <c r="O263" s="62">
        <f t="shared" si="105"/>
        <v>-21863.508813995857</v>
      </c>
      <c r="P263" s="62">
        <f t="shared" si="105"/>
        <v>-25783.028798843057</v>
      </c>
      <c r="Q263" s="35"/>
    </row>
    <row r="264" spans="1:21" ht="15.75" customHeight="1" outlineLevel="1" x14ac:dyDescent="0.15">
      <c r="A264" s="134"/>
      <c r="C264" s="21"/>
      <c r="D264" s="4"/>
      <c r="E264" s="3"/>
      <c r="K264" s="57"/>
      <c r="L264" s="57"/>
      <c r="M264" s="57"/>
      <c r="N264" s="57"/>
      <c r="O264" s="57"/>
      <c r="P264" s="11"/>
      <c r="Q264" s="40"/>
    </row>
    <row r="265" spans="1:21" ht="15.75" customHeight="1" outlineLevel="1" thickBot="1" x14ac:dyDescent="0.2">
      <c r="A265" s="134"/>
      <c r="C265" s="21" t="s">
        <v>79</v>
      </c>
      <c r="D265" s="4"/>
      <c r="E265" s="3"/>
      <c r="F265" s="4"/>
      <c r="G265" s="4"/>
      <c r="H265" s="4"/>
      <c r="I265" s="4"/>
      <c r="J265" s="4"/>
      <c r="K265" s="84">
        <f>IFERROR(F263-K263,"NA")</f>
        <v>44854</v>
      </c>
      <c r="L265" s="84">
        <f>IFERROR(K263-L263,"NA")</f>
        <v>-20344.426551506851</v>
      </c>
      <c r="M265" s="84">
        <f>IFERROR(L263-M263,"NA")</f>
        <v>-8217.9826830287639</v>
      </c>
      <c r="N265" s="84">
        <f>IFERROR(M263-N263,"NA")</f>
        <v>1931.6289028151696</v>
      </c>
      <c r="O265" s="84">
        <f>IFERROR(N263-O263,"NA")</f>
        <v>3640.2891457163023</v>
      </c>
      <c r="P265" s="84">
        <f>IFERROR(O263-P263,"NA")</f>
        <v>3919.5199848472002</v>
      </c>
      <c r="Q265" s="85"/>
    </row>
    <row r="266" spans="1:21" ht="15.75" customHeight="1" outlineLevel="1" x14ac:dyDescent="0.15">
      <c r="A266" s="134"/>
      <c r="K266" s="24"/>
      <c r="L266" s="24"/>
      <c r="M266" s="24"/>
      <c r="N266" s="24"/>
      <c r="O266" s="24"/>
      <c r="P266" s="24"/>
    </row>
    <row r="267" spans="1:21" ht="15.75" customHeight="1" x14ac:dyDescent="0.15">
      <c r="A267" s="138" t="s">
        <v>0</v>
      </c>
      <c r="K267" s="24"/>
      <c r="L267" s="24"/>
      <c r="M267" s="24"/>
      <c r="N267" s="24"/>
      <c r="O267" s="24"/>
      <c r="P267" s="24"/>
    </row>
    <row r="268" spans="1:21" ht="15.75" customHeight="1" x14ac:dyDescent="0.15">
      <c r="A268" s="135"/>
      <c r="B268" s="113" t="s">
        <v>80</v>
      </c>
      <c r="C268" s="113"/>
      <c r="D268" s="113"/>
      <c r="E268" s="145"/>
      <c r="F268" s="112"/>
      <c r="G268" s="112"/>
      <c r="H268" s="112"/>
      <c r="I268" s="112"/>
      <c r="J268" s="112"/>
      <c r="K268" s="117"/>
      <c r="L268" s="117"/>
      <c r="M268" s="120"/>
      <c r="N268" s="121"/>
      <c r="O268" s="121"/>
      <c r="P268" s="121"/>
      <c r="Q268" s="8"/>
    </row>
    <row r="269" spans="1:21" ht="15.75" hidden="1" customHeight="1" outlineLevel="1" x14ac:dyDescent="0.15">
      <c r="A269" s="134"/>
      <c r="B269" s="10"/>
      <c r="C269" s="10"/>
      <c r="D269" s="10"/>
      <c r="E269" s="22"/>
      <c r="F269" s="10"/>
      <c r="G269" s="10"/>
      <c r="H269" s="10"/>
      <c r="I269" s="10"/>
      <c r="J269" s="10"/>
      <c r="K269" s="72"/>
      <c r="L269" s="43"/>
      <c r="M269" s="7"/>
      <c r="N269" s="7"/>
      <c r="O269" s="7"/>
      <c r="P269" s="7"/>
      <c r="Q269" s="7"/>
    </row>
    <row r="270" spans="1:21" ht="15.75" hidden="1" customHeight="1" outlineLevel="1" x14ac:dyDescent="0.15">
      <c r="A270" s="134"/>
      <c r="B270" s="10" t="s">
        <v>81</v>
      </c>
      <c r="C270" s="10"/>
      <c r="D270" s="86">
        <v>0</v>
      </c>
      <c r="E270" s="22"/>
      <c r="K270" s="72"/>
      <c r="L270" s="87"/>
      <c r="M270" s="72"/>
      <c r="N270" s="72"/>
      <c r="O270" s="72"/>
      <c r="P270" s="72"/>
      <c r="Q270" s="10"/>
    </row>
    <row r="271" spans="1:21" ht="15.75" hidden="1" customHeight="1" outlineLevel="1" x14ac:dyDescent="0.15">
      <c r="A271" s="134"/>
      <c r="B271" s="10" t="s">
        <v>82</v>
      </c>
      <c r="C271" s="10"/>
      <c r="D271" s="88">
        <v>0</v>
      </c>
      <c r="E271" s="14" t="s">
        <v>83</v>
      </c>
      <c r="G271" s="1" t="s">
        <v>84</v>
      </c>
      <c r="K271" s="89">
        <v>1</v>
      </c>
      <c r="L271" s="89">
        <v>2</v>
      </c>
      <c r="M271" s="89">
        <v>3</v>
      </c>
      <c r="N271" s="89">
        <v>4</v>
      </c>
      <c r="O271" s="89">
        <v>5</v>
      </c>
      <c r="P271" s="89">
        <v>6</v>
      </c>
      <c r="Q271" s="90"/>
      <c r="R271" s="90"/>
      <c r="S271" s="90"/>
      <c r="T271" s="90"/>
      <c r="U271" s="10"/>
    </row>
    <row r="272" spans="1:21" ht="15.75" hidden="1" customHeight="1" outlineLevel="1" x14ac:dyDescent="0.15">
      <c r="A272" s="134"/>
      <c r="B272" s="10"/>
      <c r="C272" s="10"/>
      <c r="D272" s="10"/>
      <c r="E272" s="22"/>
      <c r="F272" s="10"/>
      <c r="G272" s="10"/>
      <c r="H272" s="10"/>
      <c r="I272" s="10"/>
      <c r="J272" s="10"/>
      <c r="K272" s="72"/>
      <c r="L272" s="72"/>
      <c r="M272" s="72"/>
      <c r="N272" s="72"/>
      <c r="O272" s="72"/>
      <c r="P272" s="72"/>
      <c r="Q272" s="10"/>
    </row>
    <row r="273" spans="1:21" ht="15.75" hidden="1" customHeight="1" outlineLevel="1" x14ac:dyDescent="0.15">
      <c r="A273" s="134"/>
      <c r="B273" s="91" t="s">
        <v>85</v>
      </c>
      <c r="C273" s="92"/>
      <c r="D273" s="10"/>
      <c r="E273" s="22"/>
      <c r="F273" s="10"/>
      <c r="G273" s="10"/>
      <c r="H273" s="10"/>
      <c r="I273" s="10"/>
      <c r="J273" s="10"/>
      <c r="K273" s="72"/>
      <c r="L273" s="72"/>
      <c r="M273" s="72"/>
      <c r="N273" s="72"/>
      <c r="O273" s="72"/>
      <c r="P273" s="72"/>
      <c r="Q273" s="10"/>
    </row>
    <row r="274" spans="1:21" ht="15.75" hidden="1" customHeight="1" outlineLevel="1" x14ac:dyDescent="0.15">
      <c r="A274" s="134"/>
      <c r="B274" s="10"/>
      <c r="C274" s="10" t="s">
        <v>86</v>
      </c>
      <c r="D274" s="10"/>
      <c r="E274" s="22"/>
      <c r="F274" s="10"/>
      <c r="G274" s="10"/>
      <c r="H274" s="10"/>
      <c r="I274" s="10"/>
      <c r="J274" s="10"/>
      <c r="K274" s="19"/>
      <c r="L274" s="62">
        <f t="shared" ref="L274:P274" si="106">K277</f>
        <v>0</v>
      </c>
      <c r="M274" s="62">
        <f t="shared" si="106"/>
        <v>0</v>
      </c>
      <c r="N274" s="62">
        <f t="shared" si="106"/>
        <v>0</v>
      </c>
      <c r="O274" s="62">
        <f t="shared" si="106"/>
        <v>0</v>
      </c>
      <c r="P274" s="62">
        <f t="shared" si="106"/>
        <v>0</v>
      </c>
      <c r="Q274" s="31"/>
      <c r="R274" s="31"/>
      <c r="S274" s="31"/>
      <c r="T274" s="31"/>
      <c r="U274" s="31"/>
    </row>
    <row r="275" spans="1:21" ht="15.75" hidden="1" customHeight="1" outlineLevel="1" x14ac:dyDescent="0.15">
      <c r="A275" s="134"/>
      <c r="B275" s="10"/>
      <c r="C275" s="10" t="s">
        <v>87</v>
      </c>
      <c r="D275" s="10"/>
      <c r="E275" s="22"/>
      <c r="F275" s="10"/>
      <c r="G275" s="10"/>
      <c r="H275" s="10"/>
      <c r="I275" s="10"/>
      <c r="J275" s="10"/>
      <c r="K275" s="15">
        <v>0</v>
      </c>
      <c r="L275" s="15">
        <v>0</v>
      </c>
      <c r="M275" s="15">
        <v>0</v>
      </c>
      <c r="N275" s="15">
        <v>0</v>
      </c>
      <c r="O275" s="15">
        <v>0</v>
      </c>
      <c r="P275" s="15">
        <v>0</v>
      </c>
      <c r="Q275" s="93"/>
      <c r="R275" s="93"/>
      <c r="S275" s="93"/>
      <c r="T275" s="93"/>
      <c r="U275" s="93"/>
    </row>
    <row r="276" spans="1:21" ht="15.75" hidden="1" customHeight="1" outlineLevel="1" x14ac:dyDescent="0.15">
      <c r="A276" s="134"/>
      <c r="B276" s="10"/>
      <c r="C276" s="10" t="s">
        <v>88</v>
      </c>
      <c r="D276" s="10"/>
      <c r="E276" s="22"/>
      <c r="F276" s="10"/>
      <c r="G276" s="10"/>
      <c r="H276" s="10"/>
      <c r="I276" s="10"/>
      <c r="J276" s="10"/>
      <c r="K276" s="17">
        <f t="shared" ref="K276:P276" si="107">IFERROR(PPMT($D$270,K271,$D$271,$K$275),0)</f>
        <v>0</v>
      </c>
      <c r="L276" s="17">
        <f t="shared" si="107"/>
        <v>0</v>
      </c>
      <c r="M276" s="17">
        <f t="shared" si="107"/>
        <v>0</v>
      </c>
      <c r="N276" s="17">
        <f t="shared" si="107"/>
        <v>0</v>
      </c>
      <c r="O276" s="17">
        <f t="shared" si="107"/>
        <v>0</v>
      </c>
      <c r="P276" s="17">
        <f t="shared" si="107"/>
        <v>0</v>
      </c>
      <c r="Q276" s="12"/>
      <c r="R276" s="12"/>
      <c r="S276" s="12"/>
      <c r="T276" s="12"/>
      <c r="U276" s="12"/>
    </row>
    <row r="277" spans="1:21" ht="15.75" hidden="1" customHeight="1" outlineLevel="1" x14ac:dyDescent="0.15">
      <c r="A277" s="134"/>
      <c r="B277" s="13" t="s">
        <v>89</v>
      </c>
      <c r="C277" s="10"/>
      <c r="D277" s="10"/>
      <c r="E277" s="22"/>
      <c r="F277" s="10"/>
      <c r="G277" s="10"/>
      <c r="H277" s="10"/>
      <c r="I277" s="10"/>
      <c r="J277" s="10"/>
      <c r="K277" s="202">
        <f t="shared" ref="K277:P277" si="108">SUM(K274:K276)</f>
        <v>0</v>
      </c>
      <c r="L277" s="202">
        <f t="shared" si="108"/>
        <v>0</v>
      </c>
      <c r="M277" s="202">
        <f t="shared" si="108"/>
        <v>0</v>
      </c>
      <c r="N277" s="202">
        <f t="shared" si="108"/>
        <v>0</v>
      </c>
      <c r="O277" s="202">
        <f t="shared" si="108"/>
        <v>0</v>
      </c>
      <c r="P277" s="202">
        <f t="shared" si="108"/>
        <v>0</v>
      </c>
      <c r="Q277" s="12"/>
      <c r="R277" s="12"/>
      <c r="S277" s="12"/>
      <c r="T277" s="12"/>
      <c r="U277" s="12"/>
    </row>
    <row r="278" spans="1:21" ht="15.75" hidden="1" customHeight="1" outlineLevel="1" x14ac:dyDescent="0.15">
      <c r="A278" s="134"/>
      <c r="B278" s="10"/>
      <c r="C278" s="10"/>
      <c r="D278" s="10"/>
      <c r="E278" s="22"/>
      <c r="F278" s="10"/>
      <c r="G278" s="10"/>
      <c r="H278" s="10"/>
      <c r="I278" s="10"/>
      <c r="J278" s="10"/>
      <c r="K278" s="62"/>
      <c r="L278" s="62"/>
      <c r="M278" s="62"/>
      <c r="N278" s="62"/>
      <c r="O278" s="62"/>
      <c r="P278" s="62"/>
      <c r="Q278" s="35"/>
      <c r="R278" s="35"/>
      <c r="S278" s="35"/>
      <c r="T278" s="35"/>
      <c r="U278" s="35"/>
    </row>
    <row r="279" spans="1:21" ht="15.75" hidden="1" customHeight="1" outlineLevel="1" x14ac:dyDescent="0.15">
      <c r="A279" s="134"/>
      <c r="B279" s="10"/>
      <c r="C279" s="10" t="s">
        <v>90</v>
      </c>
      <c r="D279" s="10"/>
      <c r="E279" s="22"/>
      <c r="F279" s="10"/>
      <c r="G279" s="10"/>
      <c r="H279" s="10"/>
      <c r="I279" s="10"/>
      <c r="J279" s="10"/>
      <c r="K279" s="203">
        <f t="shared" ref="K279:P279" si="109">IFERROR(IPMT($D$270,K271,$D$271,$K$275),0)</f>
        <v>0</v>
      </c>
      <c r="L279" s="203">
        <f t="shared" si="109"/>
        <v>0</v>
      </c>
      <c r="M279" s="203">
        <f t="shared" si="109"/>
        <v>0</v>
      </c>
      <c r="N279" s="203">
        <f t="shared" si="109"/>
        <v>0</v>
      </c>
      <c r="O279" s="203">
        <f t="shared" si="109"/>
        <v>0</v>
      </c>
      <c r="P279" s="203">
        <f t="shared" si="109"/>
        <v>0</v>
      </c>
      <c r="Q279" s="94"/>
      <c r="R279" s="94"/>
      <c r="S279" s="94"/>
      <c r="T279" s="94"/>
      <c r="U279" s="94"/>
    </row>
    <row r="280" spans="1:21" ht="15.75" hidden="1" customHeight="1" outlineLevel="1" x14ac:dyDescent="0.15">
      <c r="A280" s="134"/>
      <c r="B280" s="95"/>
      <c r="C280" s="95"/>
      <c r="D280" s="95"/>
      <c r="E280" s="147"/>
      <c r="F280" s="95"/>
      <c r="G280" s="95"/>
      <c r="H280" s="176"/>
      <c r="I280" s="176"/>
      <c r="J280" s="95"/>
      <c r="K280" s="96"/>
      <c r="L280" s="96"/>
      <c r="M280" s="97"/>
      <c r="N280" s="97"/>
      <c r="O280" s="97"/>
      <c r="P280" s="97"/>
      <c r="Q280" s="35"/>
    </row>
    <row r="281" spans="1:21" ht="15.75" hidden="1" customHeight="1" outlineLevel="1" x14ac:dyDescent="0.15">
      <c r="A281" s="134"/>
      <c r="B281" s="10" t="s">
        <v>81</v>
      </c>
      <c r="C281" s="10"/>
      <c r="D281" s="86">
        <v>0</v>
      </c>
      <c r="E281" s="22"/>
      <c r="K281" s="24"/>
      <c r="L281" s="72"/>
      <c r="M281" s="87"/>
      <c r="N281" s="72"/>
      <c r="O281" s="72"/>
      <c r="P281" s="72"/>
      <c r="Q281" s="10"/>
    </row>
    <row r="282" spans="1:21" ht="15.75" hidden="1" customHeight="1" outlineLevel="1" x14ac:dyDescent="0.15">
      <c r="A282" s="134"/>
      <c r="B282" s="10" t="s">
        <v>82</v>
      </c>
      <c r="C282" s="10"/>
      <c r="D282" s="88">
        <v>0</v>
      </c>
      <c r="E282" s="14" t="s">
        <v>83</v>
      </c>
      <c r="F282" s="10"/>
      <c r="G282" s="1" t="s">
        <v>84</v>
      </c>
      <c r="J282" s="10"/>
      <c r="K282" s="89">
        <v>1</v>
      </c>
      <c r="L282" s="89">
        <v>2</v>
      </c>
      <c r="M282" s="89">
        <v>3</v>
      </c>
      <c r="N282" s="89">
        <v>4</v>
      </c>
      <c r="O282" s="89">
        <v>5</v>
      </c>
      <c r="P282" s="89">
        <v>6</v>
      </c>
      <c r="Q282" s="90"/>
      <c r="R282" s="90"/>
      <c r="S282" s="90"/>
      <c r="T282" s="90"/>
      <c r="U282" s="10"/>
    </row>
    <row r="283" spans="1:21" ht="15.75" hidden="1" customHeight="1" outlineLevel="1" x14ac:dyDescent="0.15">
      <c r="A283" s="134"/>
      <c r="B283" s="10"/>
      <c r="C283" s="10"/>
      <c r="D283" s="10"/>
      <c r="E283" s="22"/>
      <c r="F283" s="10"/>
      <c r="G283" s="10"/>
      <c r="H283" s="10"/>
      <c r="I283" s="10"/>
      <c r="J283" s="10"/>
      <c r="K283" s="72"/>
      <c r="L283" s="72"/>
      <c r="M283" s="72"/>
      <c r="N283" s="72"/>
      <c r="O283" s="72"/>
      <c r="P283" s="72"/>
      <c r="Q283" s="10"/>
    </row>
    <row r="284" spans="1:21" ht="15.75" hidden="1" customHeight="1" outlineLevel="1" x14ac:dyDescent="0.15">
      <c r="A284" s="134"/>
      <c r="B284" s="91" t="s">
        <v>91</v>
      </c>
      <c r="C284" s="92"/>
      <c r="D284" s="10"/>
      <c r="E284" s="22"/>
      <c r="F284" s="10"/>
      <c r="G284" s="10"/>
      <c r="H284" s="10"/>
      <c r="I284" s="10"/>
      <c r="J284" s="10"/>
      <c r="K284" s="72"/>
      <c r="L284" s="72"/>
      <c r="M284" s="72"/>
      <c r="N284" s="72"/>
      <c r="O284" s="72"/>
      <c r="P284" s="72"/>
      <c r="Q284" s="10"/>
    </row>
    <row r="285" spans="1:21" ht="15.75" hidden="1" customHeight="1" outlineLevel="1" x14ac:dyDescent="0.15">
      <c r="A285" s="134"/>
      <c r="B285" s="10"/>
      <c r="C285" s="10" t="s">
        <v>86</v>
      </c>
      <c r="D285" s="10"/>
      <c r="E285" s="22"/>
      <c r="F285" s="10"/>
      <c r="G285" s="10"/>
      <c r="H285" s="10"/>
      <c r="I285" s="10"/>
      <c r="J285" s="10"/>
      <c r="K285" s="19"/>
      <c r="L285" s="62">
        <f t="shared" ref="L285:P285" si="110">K288</f>
        <v>0</v>
      </c>
      <c r="M285" s="62">
        <f t="shared" si="110"/>
        <v>0</v>
      </c>
      <c r="N285" s="62">
        <f t="shared" si="110"/>
        <v>0</v>
      </c>
      <c r="O285" s="62">
        <f t="shared" si="110"/>
        <v>0</v>
      </c>
      <c r="P285" s="62">
        <f t="shared" si="110"/>
        <v>0</v>
      </c>
      <c r="Q285" s="31"/>
      <c r="R285" s="31"/>
      <c r="S285" s="31"/>
      <c r="T285" s="31"/>
      <c r="U285" s="31"/>
    </row>
    <row r="286" spans="1:21" ht="15.75" hidden="1" customHeight="1" outlineLevel="1" x14ac:dyDescent="0.15">
      <c r="A286" s="134"/>
      <c r="B286" s="10"/>
      <c r="C286" s="10" t="s">
        <v>87</v>
      </c>
      <c r="D286" s="10"/>
      <c r="E286" s="22"/>
      <c r="F286" s="10"/>
      <c r="G286" s="10"/>
      <c r="H286" s="10"/>
      <c r="I286" s="10"/>
      <c r="J286" s="10"/>
      <c r="K286" s="15">
        <v>0</v>
      </c>
      <c r="L286" s="15">
        <v>0</v>
      </c>
      <c r="M286" s="15">
        <v>0</v>
      </c>
      <c r="N286" s="15">
        <v>0</v>
      </c>
      <c r="O286" s="15">
        <v>0</v>
      </c>
      <c r="P286" s="15">
        <v>0</v>
      </c>
      <c r="Q286" s="93"/>
      <c r="R286" s="93"/>
      <c r="S286" s="93"/>
      <c r="T286" s="93"/>
      <c r="U286" s="93"/>
    </row>
    <row r="287" spans="1:21" ht="15.75" hidden="1" customHeight="1" outlineLevel="1" x14ac:dyDescent="0.15">
      <c r="A287" s="134"/>
      <c r="B287" s="10"/>
      <c r="C287" s="10" t="s">
        <v>88</v>
      </c>
      <c r="D287" s="10"/>
      <c r="E287" s="22"/>
      <c r="F287" s="10"/>
      <c r="G287" s="10"/>
      <c r="H287" s="10"/>
      <c r="I287" s="10"/>
      <c r="J287" s="10"/>
      <c r="K287" s="17">
        <f t="shared" ref="K287:P287" si="111">IFERROR(PPMT($D$281,K282,$D$282,$K$286),0)</f>
        <v>0</v>
      </c>
      <c r="L287" s="17">
        <f t="shared" si="111"/>
        <v>0</v>
      </c>
      <c r="M287" s="17">
        <f t="shared" si="111"/>
        <v>0</v>
      </c>
      <c r="N287" s="17">
        <f t="shared" si="111"/>
        <v>0</v>
      </c>
      <c r="O287" s="17">
        <f t="shared" si="111"/>
        <v>0</v>
      </c>
      <c r="P287" s="17">
        <f t="shared" si="111"/>
        <v>0</v>
      </c>
      <c r="Q287" s="12"/>
      <c r="R287" s="12"/>
      <c r="S287" s="12"/>
      <c r="T287" s="12"/>
      <c r="U287" s="12"/>
    </row>
    <row r="288" spans="1:21" ht="15.75" hidden="1" customHeight="1" outlineLevel="1" x14ac:dyDescent="0.15">
      <c r="A288" s="134"/>
      <c r="B288" s="13" t="s">
        <v>89</v>
      </c>
      <c r="C288" s="10"/>
      <c r="D288" s="10"/>
      <c r="E288" s="22"/>
      <c r="F288" s="10"/>
      <c r="G288" s="10"/>
      <c r="H288" s="10"/>
      <c r="I288" s="10"/>
      <c r="J288" s="10"/>
      <c r="K288" s="202">
        <f t="shared" ref="K288:P288" si="112">SUM(K285:K287)</f>
        <v>0</v>
      </c>
      <c r="L288" s="202">
        <f t="shared" si="112"/>
        <v>0</v>
      </c>
      <c r="M288" s="202">
        <f t="shared" si="112"/>
        <v>0</v>
      </c>
      <c r="N288" s="202">
        <f t="shared" si="112"/>
        <v>0</v>
      </c>
      <c r="O288" s="202">
        <f t="shared" si="112"/>
        <v>0</v>
      </c>
      <c r="P288" s="202">
        <f t="shared" si="112"/>
        <v>0</v>
      </c>
      <c r="Q288" s="12"/>
      <c r="R288" s="12"/>
      <c r="S288" s="12"/>
      <c r="T288" s="12"/>
      <c r="U288" s="12"/>
    </row>
    <row r="289" spans="1:21" ht="15.75" hidden="1" customHeight="1" outlineLevel="1" x14ac:dyDescent="0.15">
      <c r="A289" s="134"/>
      <c r="B289" s="10"/>
      <c r="C289" s="10"/>
      <c r="D289" s="10"/>
      <c r="E289" s="22"/>
      <c r="F289" s="10"/>
      <c r="G289" s="10"/>
      <c r="H289" s="10"/>
      <c r="I289" s="10"/>
      <c r="J289" s="10"/>
      <c r="K289" s="62"/>
      <c r="L289" s="62"/>
      <c r="M289" s="62"/>
      <c r="N289" s="62"/>
      <c r="O289" s="62"/>
      <c r="P289" s="62"/>
      <c r="Q289" s="35"/>
      <c r="R289" s="35"/>
      <c r="S289" s="35"/>
      <c r="T289" s="35"/>
      <c r="U289" s="35"/>
    </row>
    <row r="290" spans="1:21" ht="15.75" hidden="1" customHeight="1" outlineLevel="1" x14ac:dyDescent="0.15">
      <c r="A290" s="134"/>
      <c r="B290" s="10"/>
      <c r="C290" s="10" t="s">
        <v>90</v>
      </c>
      <c r="D290" s="10"/>
      <c r="E290" s="22"/>
      <c r="F290" s="10"/>
      <c r="G290" s="10"/>
      <c r="H290" s="10"/>
      <c r="I290" s="10"/>
      <c r="J290" s="10"/>
      <c r="K290" s="203">
        <f t="shared" ref="K290:P290" si="113">IFERROR(IPMT($D$281,K282,$D$282,$K$286),0)</f>
        <v>0</v>
      </c>
      <c r="L290" s="203">
        <f t="shared" si="113"/>
        <v>0</v>
      </c>
      <c r="M290" s="203">
        <f t="shared" si="113"/>
        <v>0</v>
      </c>
      <c r="N290" s="203">
        <f t="shared" si="113"/>
        <v>0</v>
      </c>
      <c r="O290" s="203">
        <f t="shared" si="113"/>
        <v>0</v>
      </c>
      <c r="P290" s="203">
        <f t="shared" si="113"/>
        <v>0</v>
      </c>
      <c r="Q290" s="94"/>
      <c r="R290" s="94"/>
      <c r="S290" s="94"/>
      <c r="T290" s="94"/>
      <c r="U290" s="94"/>
    </row>
    <row r="291" spans="1:21" ht="15.75" hidden="1" customHeight="1" outlineLevel="1" x14ac:dyDescent="0.15">
      <c r="A291" s="134"/>
      <c r="B291" s="95"/>
      <c r="C291" s="95"/>
      <c r="D291" s="95"/>
      <c r="E291" s="147"/>
      <c r="F291" s="95"/>
      <c r="G291" s="95"/>
      <c r="H291" s="176"/>
      <c r="I291" s="176"/>
      <c r="J291" s="95"/>
      <c r="K291" s="96"/>
      <c r="L291" s="97"/>
      <c r="M291" s="97"/>
      <c r="N291" s="97"/>
      <c r="O291" s="97"/>
      <c r="P291" s="35"/>
      <c r="Q291" s="35"/>
    </row>
    <row r="292" spans="1:21" ht="15.75" hidden="1" customHeight="1" outlineLevel="1" x14ac:dyDescent="0.15">
      <c r="A292" s="134"/>
      <c r="B292" s="13" t="s">
        <v>92</v>
      </c>
      <c r="C292" s="10"/>
      <c r="D292" s="10"/>
      <c r="E292" s="22"/>
      <c r="F292" s="10"/>
      <c r="G292" s="10"/>
      <c r="H292" s="10"/>
      <c r="I292" s="10"/>
      <c r="J292" s="10"/>
      <c r="K292" s="72"/>
      <c r="L292" s="72"/>
      <c r="M292" s="72"/>
      <c r="N292" s="72"/>
      <c r="O292" s="72"/>
      <c r="P292" s="72"/>
      <c r="Q292" s="10"/>
    </row>
    <row r="293" spans="1:21" ht="15.75" hidden="1" customHeight="1" outlineLevel="1" x14ac:dyDescent="0.15">
      <c r="A293" s="134"/>
      <c r="B293" s="10"/>
      <c r="C293" s="10" t="s">
        <v>86</v>
      </c>
      <c r="D293" s="10"/>
      <c r="E293" s="22"/>
      <c r="F293" s="10"/>
      <c r="G293" s="10"/>
      <c r="H293" s="10"/>
      <c r="I293" s="10"/>
      <c r="J293" s="10"/>
      <c r="K293" s="62"/>
      <c r="L293" s="62">
        <f t="shared" ref="L293:P293" si="114">L274+L285</f>
        <v>0</v>
      </c>
      <c r="M293" s="62">
        <f t="shared" si="114"/>
        <v>0</v>
      </c>
      <c r="N293" s="62">
        <f t="shared" si="114"/>
        <v>0</v>
      </c>
      <c r="O293" s="62">
        <f t="shared" si="114"/>
        <v>0</v>
      </c>
      <c r="P293" s="62">
        <f t="shared" si="114"/>
        <v>0</v>
      </c>
      <c r="Q293" s="35"/>
    </row>
    <row r="294" spans="1:21" ht="15.75" hidden="1" customHeight="1" outlineLevel="1" x14ac:dyDescent="0.15">
      <c r="A294" s="134"/>
      <c r="B294" s="10"/>
      <c r="C294" s="10" t="s">
        <v>87</v>
      </c>
      <c r="D294" s="10"/>
      <c r="E294" s="22"/>
      <c r="F294" s="10"/>
      <c r="G294" s="10"/>
      <c r="H294" s="10"/>
      <c r="I294" s="10"/>
      <c r="J294" s="10"/>
      <c r="K294" s="62">
        <f t="shared" ref="K294:P294" si="115">K275+K286</f>
        <v>0</v>
      </c>
      <c r="L294" s="62">
        <f t="shared" si="115"/>
        <v>0</v>
      </c>
      <c r="M294" s="62">
        <f t="shared" si="115"/>
        <v>0</v>
      </c>
      <c r="N294" s="62">
        <f t="shared" si="115"/>
        <v>0</v>
      </c>
      <c r="O294" s="62">
        <f t="shared" si="115"/>
        <v>0</v>
      </c>
      <c r="P294" s="62">
        <f t="shared" si="115"/>
        <v>0</v>
      </c>
      <c r="Q294" s="35"/>
    </row>
    <row r="295" spans="1:21" ht="15.75" hidden="1" customHeight="1" outlineLevel="1" x14ac:dyDescent="0.15">
      <c r="A295" s="134"/>
      <c r="B295" s="10"/>
      <c r="C295" s="10" t="s">
        <v>88</v>
      </c>
      <c r="D295" s="10"/>
      <c r="E295" s="22"/>
      <c r="F295" s="10"/>
      <c r="G295" s="10"/>
      <c r="H295" s="10"/>
      <c r="I295" s="10"/>
      <c r="J295" s="10"/>
      <c r="K295" s="62">
        <f t="shared" ref="K295:P295" si="116">K276+K287</f>
        <v>0</v>
      </c>
      <c r="L295" s="62">
        <f t="shared" si="116"/>
        <v>0</v>
      </c>
      <c r="M295" s="62">
        <f t="shared" si="116"/>
        <v>0</v>
      </c>
      <c r="N295" s="62">
        <f t="shared" si="116"/>
        <v>0</v>
      </c>
      <c r="O295" s="62">
        <f t="shared" si="116"/>
        <v>0</v>
      </c>
      <c r="P295" s="62">
        <f t="shared" si="116"/>
        <v>0</v>
      </c>
      <c r="Q295" s="35"/>
    </row>
    <row r="296" spans="1:21" ht="15.75" hidden="1" customHeight="1" outlineLevel="1" x14ac:dyDescent="0.15">
      <c r="A296" s="134"/>
      <c r="B296" s="13" t="s">
        <v>89</v>
      </c>
      <c r="C296" s="10"/>
      <c r="D296" s="10"/>
      <c r="E296" s="22"/>
      <c r="F296" s="10"/>
      <c r="G296" s="10"/>
      <c r="H296" s="10"/>
      <c r="I296" s="10"/>
      <c r="J296" s="10"/>
      <c r="K296" s="204">
        <f t="shared" ref="K296:P296" si="117">SUM(K293:K295)</f>
        <v>0</v>
      </c>
      <c r="L296" s="204">
        <f t="shared" si="117"/>
        <v>0</v>
      </c>
      <c r="M296" s="204">
        <f t="shared" si="117"/>
        <v>0</v>
      </c>
      <c r="N296" s="204">
        <f t="shared" si="117"/>
        <v>0</v>
      </c>
      <c r="O296" s="204">
        <f t="shared" si="117"/>
        <v>0</v>
      </c>
      <c r="P296" s="204">
        <f t="shared" si="117"/>
        <v>0</v>
      </c>
      <c r="Q296" s="35"/>
    </row>
    <row r="297" spans="1:21" ht="15.75" hidden="1" customHeight="1" outlineLevel="1" x14ac:dyDescent="0.15">
      <c r="A297" s="134"/>
      <c r="B297" s="13"/>
      <c r="C297" s="10"/>
      <c r="D297" s="10"/>
      <c r="E297" s="22"/>
      <c r="F297" s="10"/>
      <c r="G297" s="10"/>
      <c r="H297" s="10"/>
      <c r="I297" s="10"/>
      <c r="J297" s="10"/>
      <c r="K297" s="62"/>
      <c r="L297" s="62"/>
      <c r="M297" s="62"/>
      <c r="N297" s="62"/>
      <c r="O297" s="62"/>
      <c r="P297" s="62"/>
      <c r="Q297" s="35"/>
    </row>
    <row r="298" spans="1:21" ht="15.75" hidden="1" customHeight="1" outlineLevel="1" x14ac:dyDescent="0.15">
      <c r="A298" s="134"/>
      <c r="B298" s="10"/>
      <c r="C298" s="10" t="s">
        <v>93</v>
      </c>
      <c r="D298" s="10"/>
      <c r="E298" s="22"/>
      <c r="F298" s="10"/>
      <c r="G298" s="10"/>
      <c r="H298" s="10"/>
      <c r="I298" s="10"/>
      <c r="J298" s="10"/>
      <c r="K298" s="205">
        <f t="shared" ref="K298:P298" si="118">K279+K290</f>
        <v>0</v>
      </c>
      <c r="L298" s="205">
        <f t="shared" si="118"/>
        <v>0</v>
      </c>
      <c r="M298" s="205">
        <f t="shared" si="118"/>
        <v>0</v>
      </c>
      <c r="N298" s="205">
        <f t="shared" si="118"/>
        <v>0</v>
      </c>
      <c r="O298" s="205">
        <f t="shared" si="118"/>
        <v>0</v>
      </c>
      <c r="P298" s="205">
        <f t="shared" si="118"/>
        <v>0</v>
      </c>
      <c r="Q298" s="35"/>
    </row>
    <row r="299" spans="1:21" ht="15.75" hidden="1" customHeight="1" outlineLevel="1" x14ac:dyDescent="0.15">
      <c r="A299" s="134"/>
      <c r="K299" s="24"/>
      <c r="L299" s="24"/>
      <c r="M299" s="24"/>
      <c r="N299" s="24"/>
      <c r="O299" s="24"/>
      <c r="P299" s="24"/>
    </row>
    <row r="300" spans="1:21" ht="15.75" customHeight="1" collapsed="1" x14ac:dyDescent="0.15">
      <c r="A300" s="138" t="s">
        <v>0</v>
      </c>
      <c r="K300" s="24"/>
      <c r="L300" s="24"/>
      <c r="M300" s="24"/>
      <c r="N300" s="24"/>
      <c r="O300" s="24"/>
      <c r="P300" s="24"/>
    </row>
    <row r="301" spans="1:21" ht="15.75" customHeight="1" x14ac:dyDescent="0.15">
      <c r="A301" s="135"/>
      <c r="B301" s="113" t="s">
        <v>94</v>
      </c>
      <c r="C301" s="113"/>
      <c r="D301" s="113"/>
      <c r="E301" s="145"/>
      <c r="F301" s="112"/>
      <c r="G301" s="112"/>
      <c r="H301" s="112"/>
      <c r="I301" s="112"/>
      <c r="J301" s="112"/>
      <c r="K301" s="117"/>
      <c r="L301" s="117"/>
      <c r="M301" s="120"/>
      <c r="N301" s="121"/>
      <c r="O301" s="121"/>
      <c r="P301" s="121"/>
      <c r="Q301" s="8"/>
    </row>
    <row r="302" spans="1:21" ht="15.75" customHeight="1" outlineLevel="1" x14ac:dyDescent="0.15">
      <c r="A302" s="138"/>
      <c r="B302" s="33"/>
      <c r="C302" s="33"/>
      <c r="D302" s="5"/>
      <c r="E302" s="146"/>
      <c r="F302" s="6"/>
      <c r="G302" s="6"/>
      <c r="H302" s="6"/>
      <c r="I302" s="6"/>
      <c r="J302" s="6"/>
      <c r="K302" s="98">
        <v>1</v>
      </c>
      <c r="L302" s="98">
        <f t="shared" ref="L302:P302" si="119">K302+1</f>
        <v>2</v>
      </c>
      <c r="M302" s="98">
        <f t="shared" si="119"/>
        <v>3</v>
      </c>
      <c r="N302" s="98">
        <f t="shared" si="119"/>
        <v>4</v>
      </c>
      <c r="O302" s="98">
        <f t="shared" si="119"/>
        <v>5</v>
      </c>
      <c r="P302" s="98">
        <f t="shared" si="119"/>
        <v>6</v>
      </c>
      <c r="Q302" s="7"/>
    </row>
    <row r="303" spans="1:21" ht="15.75" customHeight="1" outlineLevel="1" x14ac:dyDescent="0.15">
      <c r="A303" s="134"/>
      <c r="B303" s="4" t="s">
        <v>94</v>
      </c>
      <c r="K303" s="24"/>
      <c r="L303" s="24"/>
      <c r="M303" s="24"/>
      <c r="N303" s="24"/>
      <c r="O303" s="24"/>
      <c r="P303" s="24"/>
    </row>
    <row r="304" spans="1:21" ht="15.75" customHeight="1" outlineLevel="1" x14ac:dyDescent="0.15">
      <c r="A304" s="134"/>
      <c r="C304" s="1" t="s">
        <v>95</v>
      </c>
      <c r="K304" s="15">
        <v>0</v>
      </c>
      <c r="L304" s="17">
        <f t="shared" ref="L304:P304" si="120">K308</f>
        <v>62142.519230769234</v>
      </c>
      <c r="M304" s="17">
        <f t="shared" si="120"/>
        <v>134356.63461538462</v>
      </c>
      <c r="N304" s="17">
        <f t="shared" si="120"/>
        <v>115151.82692307694</v>
      </c>
      <c r="O304" s="17">
        <f t="shared" si="120"/>
        <v>95947.019230769249</v>
      </c>
      <c r="P304" s="17">
        <f t="shared" si="120"/>
        <v>76742.211538461561</v>
      </c>
    </row>
    <row r="305" spans="1:16" ht="15.75" customHeight="1" outlineLevel="1" x14ac:dyDescent="0.15">
      <c r="A305" s="134"/>
      <c r="C305" s="1" t="s">
        <v>96</v>
      </c>
      <c r="K305" s="154">
        <f t="array" ref="K305:P305">TRANSPOSE(G312:G317)</f>
        <v>32745</v>
      </c>
      <c r="L305" s="154">
        <v>46040</v>
      </c>
      <c r="M305" s="154">
        <v>0</v>
      </c>
      <c r="N305" s="154">
        <v>0</v>
      </c>
      <c r="O305" s="154">
        <v>0</v>
      </c>
      <c r="P305" s="154">
        <v>0</v>
      </c>
    </row>
    <row r="306" spans="1:16" ht="15.75" customHeight="1" outlineLevel="1" x14ac:dyDescent="0.15">
      <c r="A306" s="134"/>
      <c r="C306" s="1" t="s">
        <v>184</v>
      </c>
      <c r="K306" s="152">
        <f t="array" ref="K306:P306">TRANSPOSE(G321:G326)</f>
        <v>33621</v>
      </c>
      <c r="L306" s="152">
        <v>40000</v>
      </c>
      <c r="M306" s="152">
        <v>0</v>
      </c>
      <c r="N306" s="152">
        <v>0</v>
      </c>
      <c r="O306" s="152">
        <v>0</v>
      </c>
      <c r="P306" s="152">
        <v>0</v>
      </c>
    </row>
    <row r="307" spans="1:16" ht="15.75" customHeight="1" outlineLevel="1" x14ac:dyDescent="0.15">
      <c r="A307" s="134"/>
      <c r="C307" s="1" t="s">
        <v>97</v>
      </c>
      <c r="K307" s="17">
        <f>SUM(K$312:K$317)+SUM(K$321:K$326)</f>
        <v>4223.4807692307695</v>
      </c>
      <c r="L307" s="17">
        <f t="shared" ref="L307:P307" si="121">SUM(L$312:L$317)+SUM(L$321:L$326)</f>
        <v>13825.884615384615</v>
      </c>
      <c r="M307" s="17">
        <f t="shared" si="121"/>
        <v>19204.807692307691</v>
      </c>
      <c r="N307" s="17">
        <f t="shared" si="121"/>
        <v>19204.807692307691</v>
      </c>
      <c r="O307" s="17">
        <f t="shared" si="121"/>
        <v>19204.807692307691</v>
      </c>
      <c r="P307" s="17">
        <f t="shared" si="121"/>
        <v>19204.807692307691</v>
      </c>
    </row>
    <row r="308" spans="1:16" ht="15.75" customHeight="1" outlineLevel="1" x14ac:dyDescent="0.15">
      <c r="A308" s="134"/>
      <c r="C308" s="4" t="s">
        <v>89</v>
      </c>
      <c r="K308" s="99">
        <f t="shared" ref="K308:P308" si="122">K304+K305+K306-K307</f>
        <v>62142.519230769234</v>
      </c>
      <c r="L308" s="99">
        <f t="shared" si="122"/>
        <v>134356.63461538462</v>
      </c>
      <c r="M308" s="99">
        <f t="shared" si="122"/>
        <v>115151.82692307694</v>
      </c>
      <c r="N308" s="99">
        <f t="shared" si="122"/>
        <v>95947.019230769249</v>
      </c>
      <c r="O308" s="99">
        <f t="shared" si="122"/>
        <v>76742.211538461561</v>
      </c>
      <c r="P308" s="99">
        <f t="shared" si="122"/>
        <v>57537.403846153873</v>
      </c>
    </row>
    <row r="309" spans="1:16" ht="15.75" customHeight="1" outlineLevel="1" x14ac:dyDescent="0.15">
      <c r="A309" s="134"/>
      <c r="K309" s="24"/>
      <c r="L309" s="24"/>
      <c r="M309" s="24"/>
      <c r="N309" s="24"/>
      <c r="O309" s="24"/>
      <c r="P309" s="24"/>
    </row>
    <row r="310" spans="1:16" ht="15.75" customHeight="1" outlineLevel="1" x14ac:dyDescent="0.15">
      <c r="A310" s="134"/>
      <c r="B310" s="32" t="s">
        <v>19</v>
      </c>
      <c r="C310" s="199"/>
      <c r="D310" s="32"/>
      <c r="E310" s="148"/>
      <c r="F310" s="32"/>
      <c r="G310" s="100"/>
      <c r="H310" s="177"/>
      <c r="I310" s="177"/>
      <c r="J310" s="32"/>
      <c r="K310" s="101"/>
      <c r="L310" s="101"/>
      <c r="M310" s="101"/>
      <c r="N310" s="101"/>
      <c r="O310" s="101"/>
      <c r="P310" s="101"/>
    </row>
    <row r="311" spans="1:16" ht="15.75" customHeight="1" outlineLevel="1" x14ac:dyDescent="0.15">
      <c r="A311" s="134"/>
      <c r="B311" s="28"/>
      <c r="C311" s="134" t="s">
        <v>98</v>
      </c>
      <c r="D311" s="105">
        <v>10</v>
      </c>
      <c r="F311" s="102" t="s">
        <v>99</v>
      </c>
      <c r="G311" s="200" t="s">
        <v>185</v>
      </c>
      <c r="H311" s="102"/>
      <c r="I311" s="102"/>
      <c r="J311" s="102" t="s">
        <v>100</v>
      </c>
      <c r="K311" s="197">
        <f>K$4</f>
        <v>2024</v>
      </c>
      <c r="L311" s="103">
        <f t="shared" ref="L311:P311" si="123">L$4</f>
        <v>2025</v>
      </c>
      <c r="M311" s="103">
        <f t="shared" si="123"/>
        <v>2026</v>
      </c>
      <c r="N311" s="103">
        <f t="shared" si="123"/>
        <v>2027</v>
      </c>
      <c r="O311" s="103">
        <f t="shared" si="123"/>
        <v>2028</v>
      </c>
      <c r="P311" s="103">
        <f t="shared" si="123"/>
        <v>2029</v>
      </c>
    </row>
    <row r="312" spans="1:16" ht="15.75" customHeight="1" outlineLevel="1" x14ac:dyDescent="0.15">
      <c r="A312" s="134"/>
      <c r="C312" s="134"/>
      <c r="D312" s="198"/>
      <c r="F312" s="51">
        <v>2024</v>
      </c>
      <c r="G312" s="201">
        <v>32745</v>
      </c>
      <c r="H312" s="104"/>
      <c r="I312" s="104"/>
      <c r="J312" s="104">
        <f t="shared" ref="J312:J317" si="124">IFERROR(G312/$D$311,0)</f>
        <v>3274.5</v>
      </c>
      <c r="K312" s="45">
        <f>IF(K$302&gt;$D$311,0,$J312*0.5)</f>
        <v>1637.25</v>
      </c>
      <c r="L312" s="17">
        <f>IF(L$302&gt;$D$311,0,$J312)</f>
        <v>3274.5</v>
      </c>
      <c r="M312" s="17">
        <f>IF(M$302&gt;$D$311,0,$J312)</f>
        <v>3274.5</v>
      </c>
      <c r="N312" s="17">
        <f>IF(N$302&gt;$D$311,0,$J312)</f>
        <v>3274.5</v>
      </c>
      <c r="O312" s="17">
        <f>IF(O$302&gt;$D$311,0,$J312)</f>
        <v>3274.5</v>
      </c>
      <c r="P312" s="17">
        <f>IF(P$302&gt;$D$311,0,$J312)</f>
        <v>3274.5</v>
      </c>
    </row>
    <row r="313" spans="1:16" ht="15.75" customHeight="1" outlineLevel="1" x14ac:dyDescent="0.15">
      <c r="A313" s="134"/>
      <c r="F313" s="51">
        <f>F312+1</f>
        <v>2025</v>
      </c>
      <c r="G313" s="201">
        <v>46040</v>
      </c>
      <c r="H313" s="104"/>
      <c r="I313" s="104"/>
      <c r="J313" s="104">
        <f t="shared" si="124"/>
        <v>4604</v>
      </c>
      <c r="K313" s="47"/>
      <c r="L313" s="17">
        <f>IF(L$302&gt;$D$311,0,$J313*0.5)</f>
        <v>2302</v>
      </c>
      <c r="M313" s="17">
        <f t="shared" ref="M313:P314" si="125">IF(M$302&gt;$D$311,0,$J313)</f>
        <v>4604</v>
      </c>
      <c r="N313" s="17">
        <f t="shared" si="125"/>
        <v>4604</v>
      </c>
      <c r="O313" s="17">
        <f t="shared" si="125"/>
        <v>4604</v>
      </c>
      <c r="P313" s="17">
        <f t="shared" si="125"/>
        <v>4604</v>
      </c>
    </row>
    <row r="314" spans="1:16" ht="15.75" customHeight="1" outlineLevel="1" x14ac:dyDescent="0.15">
      <c r="A314" s="134"/>
      <c r="F314" s="51">
        <f t="shared" ref="F314:F317" si="126">F313+1</f>
        <v>2026</v>
      </c>
      <c r="G314" s="201">
        <v>0</v>
      </c>
      <c r="H314" s="104"/>
      <c r="I314" s="104"/>
      <c r="J314" s="104">
        <f t="shared" si="124"/>
        <v>0</v>
      </c>
      <c r="K314" s="47"/>
      <c r="L314" s="17"/>
      <c r="M314" s="17">
        <f t="shared" si="125"/>
        <v>0</v>
      </c>
      <c r="N314" s="17">
        <f t="shared" si="125"/>
        <v>0</v>
      </c>
      <c r="O314" s="17">
        <f t="shared" si="125"/>
        <v>0</v>
      </c>
      <c r="P314" s="17">
        <f t="shared" si="125"/>
        <v>0</v>
      </c>
    </row>
    <row r="315" spans="1:16" ht="15.75" customHeight="1" outlineLevel="1" x14ac:dyDescent="0.15">
      <c r="A315" s="134"/>
      <c r="F315" s="51">
        <f t="shared" si="126"/>
        <v>2027</v>
      </c>
      <c r="G315" s="201">
        <v>0</v>
      </c>
      <c r="H315" s="104"/>
      <c r="I315" s="104"/>
      <c r="J315" s="104">
        <f t="shared" si="124"/>
        <v>0</v>
      </c>
      <c r="K315" s="47"/>
      <c r="L315" s="17"/>
      <c r="M315" s="17"/>
      <c r="N315" s="17">
        <f>IF(N$302&gt;$D$311,0,$J315)</f>
        <v>0</v>
      </c>
      <c r="O315" s="17">
        <f>IF(O$302&gt;$D$311,0,$J315)</f>
        <v>0</v>
      </c>
      <c r="P315" s="17">
        <f>IF(P$302&gt;$D$311,0,$J315)</f>
        <v>0</v>
      </c>
    </row>
    <row r="316" spans="1:16" ht="15.75" customHeight="1" outlineLevel="1" x14ac:dyDescent="0.15">
      <c r="A316" s="134"/>
      <c r="F316" s="51">
        <f t="shared" si="126"/>
        <v>2028</v>
      </c>
      <c r="G316" s="201">
        <v>0</v>
      </c>
      <c r="H316" s="104"/>
      <c r="I316" s="104"/>
      <c r="J316" s="104">
        <f t="shared" si="124"/>
        <v>0</v>
      </c>
      <c r="K316" s="47"/>
      <c r="L316" s="17"/>
      <c r="M316" s="17"/>
      <c r="N316" s="17"/>
      <c r="O316" s="17">
        <f>IF(O$302&gt;$D$311,0,$J316)</f>
        <v>0</v>
      </c>
      <c r="P316" s="17">
        <f>IF(P$302&gt;$D$311,0,$J316)</f>
        <v>0</v>
      </c>
    </row>
    <row r="317" spans="1:16" ht="15.75" customHeight="1" outlineLevel="1" x14ac:dyDescent="0.15">
      <c r="A317" s="134"/>
      <c r="F317" s="51">
        <f t="shared" si="126"/>
        <v>2029</v>
      </c>
      <c r="G317" s="201">
        <v>0</v>
      </c>
      <c r="H317" s="104"/>
      <c r="I317" s="104"/>
      <c r="J317" s="104">
        <f t="shared" si="124"/>
        <v>0</v>
      </c>
      <c r="K317" s="47"/>
      <c r="L317" s="17"/>
      <c r="M317" s="17"/>
      <c r="N317" s="17"/>
      <c r="O317" s="17"/>
      <c r="P317" s="17">
        <f>IF(P$302&gt;$D$311,0,$J317)</f>
        <v>0</v>
      </c>
    </row>
    <row r="318" spans="1:16" ht="15.75" customHeight="1" outlineLevel="1" x14ac:dyDescent="0.15">
      <c r="A318" s="134"/>
      <c r="K318" s="24"/>
      <c r="L318" s="24"/>
      <c r="M318" s="24"/>
      <c r="N318" s="24"/>
      <c r="O318" s="24"/>
      <c r="P318" s="24"/>
    </row>
    <row r="319" spans="1:16" ht="15.75" customHeight="1" outlineLevel="1" x14ac:dyDescent="0.15">
      <c r="A319" s="134"/>
      <c r="B319" s="32" t="s">
        <v>183</v>
      </c>
      <c r="C319" s="32"/>
      <c r="D319" s="32"/>
      <c r="E319" s="148"/>
      <c r="F319" s="32"/>
      <c r="G319" s="32"/>
      <c r="H319" s="178"/>
      <c r="I319" s="178"/>
      <c r="J319" s="32"/>
      <c r="K319" s="32"/>
      <c r="L319" s="32"/>
      <c r="M319" s="32"/>
      <c r="N319" s="32"/>
      <c r="O319" s="32"/>
      <c r="P319" s="32"/>
    </row>
    <row r="320" spans="1:16" ht="15.75" customHeight="1" outlineLevel="1" x14ac:dyDescent="0.15">
      <c r="A320" s="134"/>
      <c r="C320" s="1" t="s">
        <v>98</v>
      </c>
      <c r="D320" s="105">
        <v>6.5</v>
      </c>
      <c r="F320" s="102" t="s">
        <v>99</v>
      </c>
      <c r="G320" s="200" t="s">
        <v>185</v>
      </c>
      <c r="H320" s="102"/>
      <c r="I320" s="102"/>
      <c r="J320" s="102" t="s">
        <v>100</v>
      </c>
      <c r="K320" s="197">
        <f>K$4</f>
        <v>2024</v>
      </c>
      <c r="L320" s="103">
        <f t="shared" ref="L320:P320" si="127">L$4</f>
        <v>2025</v>
      </c>
      <c r="M320" s="103">
        <f t="shared" si="127"/>
        <v>2026</v>
      </c>
      <c r="N320" s="103">
        <f t="shared" si="127"/>
        <v>2027</v>
      </c>
      <c r="O320" s="103">
        <f t="shared" si="127"/>
        <v>2028</v>
      </c>
      <c r="P320" s="103">
        <f t="shared" si="127"/>
        <v>2029</v>
      </c>
    </row>
    <row r="321" spans="1:16" ht="15.75" customHeight="1" outlineLevel="1" x14ac:dyDescent="0.15">
      <c r="A321" s="134"/>
      <c r="F321" s="51">
        <f>F312</f>
        <v>2024</v>
      </c>
      <c r="G321" s="201">
        <v>33621</v>
      </c>
      <c r="H321" s="104"/>
      <c r="I321" s="104"/>
      <c r="J321" s="104">
        <f t="shared" ref="J321:J326" si="128">IFERROR(G321/$D$320,0)</f>
        <v>5172.4615384615381</v>
      </c>
      <c r="K321" s="45">
        <f>IF(K$302&gt;$D$320,0,$J321*0.5)</f>
        <v>2586.2307692307691</v>
      </c>
      <c r="L321" s="17">
        <f>IF(L$302&gt;$D$320,0,$J321)</f>
        <v>5172.4615384615381</v>
      </c>
      <c r="M321" s="17">
        <f>IF(M$302&gt;$D$320,0,$J321)</f>
        <v>5172.4615384615381</v>
      </c>
      <c r="N321" s="17">
        <f>IF(N$302&gt;$D$320,0,$J321)</f>
        <v>5172.4615384615381</v>
      </c>
      <c r="O321" s="17">
        <f>IF(O$302&gt;$D$320,0,$J321)</f>
        <v>5172.4615384615381</v>
      </c>
      <c r="P321" s="17">
        <f>IF(P$302&gt;$D$320,0,$J321)</f>
        <v>5172.4615384615381</v>
      </c>
    </row>
    <row r="322" spans="1:16" ht="15.75" customHeight="1" outlineLevel="1" x14ac:dyDescent="0.15">
      <c r="A322" s="134"/>
      <c r="F322" s="51">
        <f t="shared" ref="F322:F326" si="129">F313</f>
        <v>2025</v>
      </c>
      <c r="G322" s="201">
        <v>40000</v>
      </c>
      <c r="H322" s="104"/>
      <c r="I322" s="104"/>
      <c r="J322" s="104">
        <f t="shared" si="128"/>
        <v>6153.8461538461543</v>
      </c>
      <c r="K322" s="47"/>
      <c r="L322" s="17">
        <f>IF(L$302&gt;$D$320,0,$J322*0.5)</f>
        <v>3076.9230769230771</v>
      </c>
      <c r="M322" s="17">
        <f t="shared" ref="M322:P322" si="130">$J$322</f>
        <v>6153.8461538461543</v>
      </c>
      <c r="N322" s="17">
        <f t="shared" si="130"/>
        <v>6153.8461538461543</v>
      </c>
      <c r="O322" s="17">
        <f t="shared" si="130"/>
        <v>6153.8461538461543</v>
      </c>
      <c r="P322" s="17">
        <f t="shared" si="130"/>
        <v>6153.8461538461543</v>
      </c>
    </row>
    <row r="323" spans="1:16" ht="15.75" customHeight="1" outlineLevel="1" x14ac:dyDescent="0.15">
      <c r="A323" s="134"/>
      <c r="F323" s="51">
        <f t="shared" si="129"/>
        <v>2026</v>
      </c>
      <c r="G323" s="201">
        <v>0</v>
      </c>
      <c r="H323" s="104"/>
      <c r="I323" s="104"/>
      <c r="J323" s="104">
        <f t="shared" si="128"/>
        <v>0</v>
      </c>
      <c r="K323" s="47"/>
      <c r="L323" s="17"/>
      <c r="M323" s="17">
        <f>IF(M$302&gt;$D$320,0,$J323*0.5)</f>
        <v>0</v>
      </c>
      <c r="N323" s="17">
        <f t="shared" ref="N323:P323" si="131">$J$323</f>
        <v>0</v>
      </c>
      <c r="O323" s="17">
        <f t="shared" si="131"/>
        <v>0</v>
      </c>
      <c r="P323" s="17">
        <f t="shared" si="131"/>
        <v>0</v>
      </c>
    </row>
    <row r="324" spans="1:16" ht="15.75" customHeight="1" outlineLevel="1" x14ac:dyDescent="0.15">
      <c r="A324" s="134"/>
      <c r="F324" s="51">
        <f t="shared" si="129"/>
        <v>2027</v>
      </c>
      <c r="G324" s="201">
        <v>0</v>
      </c>
      <c r="H324" s="104"/>
      <c r="I324" s="104"/>
      <c r="J324" s="104">
        <f t="shared" si="128"/>
        <v>0</v>
      </c>
      <c r="K324" s="47"/>
      <c r="L324" s="17"/>
      <c r="M324" s="17"/>
      <c r="N324" s="17">
        <f>IF(N$302&gt;$D$320,0,$J324*0.5)</f>
        <v>0</v>
      </c>
      <c r="O324" s="17">
        <f t="shared" ref="O324:P324" si="132">$J$324</f>
        <v>0</v>
      </c>
      <c r="P324" s="17">
        <f t="shared" si="132"/>
        <v>0</v>
      </c>
    </row>
    <row r="325" spans="1:16" ht="15.75" customHeight="1" outlineLevel="1" x14ac:dyDescent="0.15">
      <c r="A325" s="134"/>
      <c r="F325" s="51">
        <f t="shared" si="129"/>
        <v>2028</v>
      </c>
      <c r="G325" s="201">
        <v>0</v>
      </c>
      <c r="H325" s="104"/>
      <c r="I325" s="104"/>
      <c r="J325" s="104">
        <f t="shared" si="128"/>
        <v>0</v>
      </c>
      <c r="K325" s="47"/>
      <c r="L325" s="17"/>
      <c r="M325" s="17"/>
      <c r="N325" s="17"/>
      <c r="O325" s="17">
        <f>IF(O$302&gt;$D$320,0,$J325*0.5)</f>
        <v>0</v>
      </c>
      <c r="P325" s="17">
        <f>$J$325</f>
        <v>0</v>
      </c>
    </row>
    <row r="326" spans="1:16" ht="15.75" customHeight="1" outlineLevel="1" x14ac:dyDescent="0.15">
      <c r="A326" s="134" t="s">
        <v>0</v>
      </c>
      <c r="F326" s="51">
        <f t="shared" si="129"/>
        <v>2029</v>
      </c>
      <c r="G326" s="201">
        <v>0</v>
      </c>
      <c r="H326" s="104"/>
      <c r="I326" s="104"/>
      <c r="J326" s="104">
        <f t="shared" si="128"/>
        <v>0</v>
      </c>
      <c r="K326" s="47"/>
      <c r="L326" s="17"/>
      <c r="M326" s="17"/>
      <c r="N326" s="17"/>
      <c r="O326" s="17"/>
      <c r="P326" s="17">
        <f>IF(P$302&gt;$D$320,0,$J326*0.5)</f>
        <v>0</v>
      </c>
    </row>
    <row r="327" spans="1:16" ht="15.75" customHeight="1" outlineLevel="1" x14ac:dyDescent="0.15">
      <c r="A327" s="134"/>
      <c r="F327" s="51"/>
      <c r="G327" s="104"/>
      <c r="H327" s="104"/>
      <c r="I327" s="104"/>
      <c r="J327" s="104"/>
      <c r="K327" s="122"/>
      <c r="L327" s="17"/>
      <c r="M327" s="17"/>
      <c r="N327" s="17"/>
      <c r="O327" s="17"/>
      <c r="P327" s="17"/>
    </row>
    <row r="328" spans="1:16" ht="15.75" customHeight="1" x14ac:dyDescent="0.15">
      <c r="A328" s="134"/>
      <c r="F328" s="51"/>
      <c r="G328" s="51"/>
      <c r="H328" s="51"/>
      <c r="I328" s="51"/>
      <c r="J328" s="51"/>
      <c r="K328" s="68"/>
      <c r="L328" s="68"/>
      <c r="M328" s="68"/>
      <c r="N328" s="68"/>
      <c r="O328" s="68"/>
      <c r="P328" s="68"/>
    </row>
    <row r="329" spans="1:16" ht="15.75" customHeight="1" x14ac:dyDescent="0.15">
      <c r="A329" s="135"/>
      <c r="B329" s="113" t="s">
        <v>101</v>
      </c>
      <c r="C329" s="113"/>
      <c r="D329" s="113"/>
      <c r="E329" s="145"/>
      <c r="F329" s="112"/>
      <c r="G329" s="112"/>
      <c r="H329" s="112"/>
      <c r="I329" s="112"/>
      <c r="J329" s="112"/>
      <c r="K329" s="117"/>
      <c r="L329" s="117"/>
      <c r="M329" s="117"/>
      <c r="N329" s="120"/>
      <c r="O329" s="121"/>
      <c r="P329" s="121"/>
    </row>
    <row r="330" spans="1:16" ht="15.75" customHeight="1" outlineLevel="1" x14ac:dyDescent="0.15">
      <c r="A330" s="134"/>
      <c r="K330" s="43"/>
      <c r="L330" s="24"/>
      <c r="M330" s="24"/>
      <c r="N330" s="24"/>
      <c r="O330" s="24"/>
      <c r="P330" s="24"/>
    </row>
    <row r="331" spans="1:16" ht="15.75" customHeight="1" outlineLevel="1" x14ac:dyDescent="0.15">
      <c r="A331" s="134"/>
      <c r="B331" s="4" t="s">
        <v>101</v>
      </c>
      <c r="K331" s="24"/>
      <c r="L331" s="24"/>
      <c r="M331" s="24"/>
      <c r="N331" s="24"/>
      <c r="O331" s="24"/>
      <c r="P331" s="24"/>
    </row>
    <row r="332" spans="1:16" ht="15.75" customHeight="1" outlineLevel="1" x14ac:dyDescent="0.15">
      <c r="A332" s="134"/>
      <c r="C332" s="1" t="s">
        <v>86</v>
      </c>
      <c r="K332" s="15">
        <v>77142</v>
      </c>
      <c r="L332" s="62">
        <f t="shared" ref="L332:P332" si="133">K335</f>
        <v>100000</v>
      </c>
      <c r="M332" s="62">
        <f t="shared" si="133"/>
        <v>0</v>
      </c>
      <c r="N332" s="62">
        <f t="shared" si="133"/>
        <v>0</v>
      </c>
      <c r="O332" s="62">
        <f t="shared" si="133"/>
        <v>0</v>
      </c>
      <c r="P332" s="62">
        <f t="shared" si="133"/>
        <v>0</v>
      </c>
    </row>
    <row r="333" spans="1:16" ht="15.75" customHeight="1" outlineLevel="1" x14ac:dyDescent="0.15">
      <c r="A333" s="134"/>
      <c r="C333" s="1" t="s">
        <v>102</v>
      </c>
      <c r="K333" s="15">
        <f>K163</f>
        <v>232554</v>
      </c>
      <c r="L333" s="15"/>
      <c r="M333" s="15"/>
      <c r="N333" s="15"/>
      <c r="O333" s="15"/>
      <c r="P333" s="15"/>
    </row>
    <row r="334" spans="1:16" ht="15.75" customHeight="1" outlineLevel="1" x14ac:dyDescent="0.15">
      <c r="A334" s="134"/>
      <c r="C334" s="1" t="s">
        <v>103</v>
      </c>
      <c r="K334" s="15">
        <f>77142+(K333-100000)</f>
        <v>209696</v>
      </c>
      <c r="L334" s="15">
        <v>100000</v>
      </c>
      <c r="M334" s="15"/>
      <c r="N334" s="15"/>
      <c r="O334" s="15"/>
      <c r="P334" s="15"/>
    </row>
    <row r="335" spans="1:16" ht="15.75" customHeight="1" outlineLevel="1" x14ac:dyDescent="0.15">
      <c r="A335" s="134"/>
      <c r="C335" s="4" t="s">
        <v>104</v>
      </c>
      <c r="K335" s="99">
        <f t="shared" ref="K335:P335" si="134">K332+K333-K334</f>
        <v>100000</v>
      </c>
      <c r="L335" s="99">
        <f t="shared" si="134"/>
        <v>0</v>
      </c>
      <c r="M335" s="99">
        <f t="shared" si="134"/>
        <v>0</v>
      </c>
      <c r="N335" s="99">
        <f t="shared" si="134"/>
        <v>0</v>
      </c>
      <c r="O335" s="99">
        <f t="shared" si="134"/>
        <v>0</v>
      </c>
      <c r="P335" s="99">
        <f t="shared" si="134"/>
        <v>0</v>
      </c>
    </row>
    <row r="336" spans="1:16" ht="15.75" customHeight="1" outlineLevel="1" x14ac:dyDescent="0.15">
      <c r="A336" s="134"/>
      <c r="C336" s="4"/>
      <c r="K336" s="106"/>
      <c r="L336" s="106"/>
      <c r="M336" s="106"/>
      <c r="N336" s="106"/>
      <c r="O336" s="106"/>
      <c r="P336" s="106"/>
    </row>
    <row r="337" spans="1:16" ht="15.75" customHeight="1" x14ac:dyDescent="0.15">
      <c r="A337" s="138" t="s">
        <v>0</v>
      </c>
      <c r="K337" s="24"/>
      <c r="L337" s="24"/>
      <c r="M337" s="24"/>
      <c r="N337" s="24"/>
      <c r="O337" s="24"/>
      <c r="P337" s="24"/>
    </row>
    <row r="338" spans="1:16" ht="15.75" customHeight="1" x14ac:dyDescent="0.15">
      <c r="A338" s="134"/>
    </row>
    <row r="339" spans="1:16" ht="15.75" customHeight="1" x14ac:dyDescent="0.15">
      <c r="A339" s="134"/>
    </row>
    <row r="340" spans="1:16" ht="15.75" customHeight="1" x14ac:dyDescent="0.15">
      <c r="A340" s="134"/>
    </row>
    <row r="341" spans="1:16" ht="15.75" customHeight="1" x14ac:dyDescent="0.15"/>
    <row r="342" spans="1:16" ht="15.75" customHeight="1" x14ac:dyDescent="0.15"/>
    <row r="343" spans="1:16" ht="15.75" customHeight="1" x14ac:dyDescent="0.15"/>
    <row r="344" spans="1:16" ht="15.75" customHeight="1" x14ac:dyDescent="0.15"/>
    <row r="345" spans="1:16" ht="15.75" customHeight="1" x14ac:dyDescent="0.15"/>
    <row r="346" spans="1:16" ht="15.75" customHeight="1" x14ac:dyDescent="0.15"/>
    <row r="347" spans="1:16" ht="15.75" customHeight="1" x14ac:dyDescent="0.15"/>
    <row r="348" spans="1:16" ht="15.75" customHeight="1" x14ac:dyDescent="0.15"/>
    <row r="349" spans="1:16" ht="15.75" customHeight="1" x14ac:dyDescent="0.15"/>
    <row r="350" spans="1:16" ht="15.75" customHeight="1" x14ac:dyDescent="0.15"/>
    <row r="351" spans="1:16" ht="15.75" customHeight="1" x14ac:dyDescent="0.15"/>
    <row r="352" spans="1:16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  <row r="388" ht="15.75" customHeight="1" x14ac:dyDescent="0.15"/>
    <row r="389" ht="15.75" customHeight="1" x14ac:dyDescent="0.15"/>
    <row r="390" ht="15.75" customHeight="1" x14ac:dyDescent="0.15"/>
    <row r="391" ht="15.75" customHeight="1" x14ac:dyDescent="0.15"/>
    <row r="392" ht="15.75" customHeight="1" x14ac:dyDescent="0.15"/>
    <row r="393" ht="15.75" customHeight="1" x14ac:dyDescent="0.15"/>
    <row r="394" ht="15.75" customHeight="1" x14ac:dyDescent="0.15"/>
    <row r="395" ht="15.75" customHeight="1" x14ac:dyDescent="0.15"/>
    <row r="396" ht="15.75" customHeight="1" x14ac:dyDescent="0.15"/>
    <row r="397" ht="15.75" customHeight="1" x14ac:dyDescent="0.15"/>
    <row r="398" ht="15.75" customHeight="1" x14ac:dyDescent="0.15"/>
    <row r="399" ht="15.75" customHeight="1" x14ac:dyDescent="0.15"/>
    <row r="400" ht="15.75" customHeight="1" x14ac:dyDescent="0.15"/>
    <row r="401" ht="15.75" customHeight="1" x14ac:dyDescent="0.15"/>
    <row r="402" ht="15.75" customHeight="1" x14ac:dyDescent="0.15"/>
    <row r="403" ht="15.75" customHeight="1" x14ac:dyDescent="0.15"/>
    <row r="404" ht="15.75" customHeight="1" x14ac:dyDescent="0.15"/>
    <row r="405" ht="15.75" customHeight="1" x14ac:dyDescent="0.15"/>
    <row r="406" ht="15.75" customHeight="1" x14ac:dyDescent="0.15"/>
    <row r="407" ht="15.75" customHeight="1" x14ac:dyDescent="0.15"/>
    <row r="408" ht="15.75" customHeight="1" x14ac:dyDescent="0.15"/>
    <row r="409" ht="15.75" customHeight="1" x14ac:dyDescent="0.15"/>
    <row r="410" ht="15.75" customHeight="1" x14ac:dyDescent="0.15"/>
    <row r="411" ht="15.75" customHeight="1" x14ac:dyDescent="0.15"/>
    <row r="412" ht="15.75" customHeight="1" x14ac:dyDescent="0.15"/>
    <row r="413" ht="15.75" customHeight="1" x14ac:dyDescent="0.15"/>
    <row r="414" ht="15.75" customHeight="1" x14ac:dyDescent="0.15"/>
    <row r="415" ht="15.75" customHeight="1" x14ac:dyDescent="0.15"/>
    <row r="416" ht="15.75" customHeight="1" x14ac:dyDescent="0.15"/>
    <row r="417" ht="15.75" customHeight="1" x14ac:dyDescent="0.15"/>
    <row r="418" ht="15.75" customHeight="1" x14ac:dyDescent="0.15"/>
    <row r="419" ht="15.75" customHeight="1" x14ac:dyDescent="0.15"/>
    <row r="420" ht="15.75" customHeight="1" x14ac:dyDescent="0.15"/>
    <row r="421" ht="15.75" customHeight="1" x14ac:dyDescent="0.15"/>
    <row r="422" ht="15.75" customHeight="1" x14ac:dyDescent="0.15"/>
    <row r="423" ht="15.75" customHeight="1" x14ac:dyDescent="0.15"/>
    <row r="424" ht="15.75" customHeight="1" x14ac:dyDescent="0.15"/>
    <row r="425" ht="15.75" customHeight="1" x14ac:dyDescent="0.15"/>
    <row r="426" ht="15.75" customHeight="1" x14ac:dyDescent="0.15"/>
    <row r="427" ht="15.75" customHeight="1" x14ac:dyDescent="0.15"/>
    <row r="428" ht="15.75" customHeight="1" x14ac:dyDescent="0.15"/>
    <row r="429" ht="15.75" customHeight="1" x14ac:dyDescent="0.15"/>
    <row r="430" ht="15.75" customHeight="1" x14ac:dyDescent="0.15"/>
    <row r="431" ht="15.75" customHeight="1" x14ac:dyDescent="0.15"/>
    <row r="432" ht="15.75" customHeight="1" x14ac:dyDescent="0.15"/>
    <row r="433" ht="15.75" customHeight="1" x14ac:dyDescent="0.15"/>
    <row r="434" ht="15.75" customHeight="1" x14ac:dyDescent="0.15"/>
    <row r="435" ht="15.75" customHeight="1" x14ac:dyDescent="0.15"/>
    <row r="436" ht="15.75" customHeight="1" x14ac:dyDescent="0.15"/>
    <row r="437" ht="15.75" customHeight="1" x14ac:dyDescent="0.15"/>
    <row r="438" ht="15.75" customHeight="1" x14ac:dyDescent="0.15"/>
    <row r="439" ht="15.75" customHeight="1" x14ac:dyDescent="0.15"/>
    <row r="440" ht="15.75" customHeight="1" x14ac:dyDescent="0.15"/>
    <row r="441" ht="15.75" customHeight="1" x14ac:dyDescent="0.15"/>
    <row r="442" ht="15.75" customHeight="1" x14ac:dyDescent="0.15"/>
    <row r="443" ht="15.75" customHeight="1" x14ac:dyDescent="0.15"/>
    <row r="444" ht="15.75" customHeight="1" x14ac:dyDescent="0.15"/>
    <row r="445" ht="15.75" customHeight="1" x14ac:dyDescent="0.15"/>
    <row r="446" ht="15.75" customHeight="1" x14ac:dyDescent="0.15"/>
    <row r="447" ht="15.75" customHeight="1" x14ac:dyDescent="0.15"/>
    <row r="448" ht="15.75" customHeight="1" x14ac:dyDescent="0.15"/>
    <row r="449" ht="15.75" customHeight="1" x14ac:dyDescent="0.15"/>
    <row r="450" ht="15.75" customHeight="1" x14ac:dyDescent="0.15"/>
    <row r="451" ht="15.75" customHeight="1" x14ac:dyDescent="0.15"/>
    <row r="452" ht="15.75" customHeight="1" x14ac:dyDescent="0.15"/>
    <row r="453" ht="15.75" customHeight="1" x14ac:dyDescent="0.15"/>
    <row r="454" ht="15.75" customHeight="1" x14ac:dyDescent="0.15"/>
    <row r="455" ht="15.75" customHeight="1" x14ac:dyDescent="0.15"/>
    <row r="456" ht="15.75" customHeight="1" x14ac:dyDescent="0.15"/>
    <row r="457" ht="15.75" customHeight="1" x14ac:dyDescent="0.15"/>
    <row r="458" ht="15.75" customHeight="1" x14ac:dyDescent="0.15"/>
    <row r="459" ht="15.75" customHeight="1" x14ac:dyDescent="0.15"/>
    <row r="460" ht="15.75" customHeight="1" x14ac:dyDescent="0.15"/>
    <row r="461" ht="15.75" customHeight="1" x14ac:dyDescent="0.15"/>
    <row r="462" ht="15.75" customHeight="1" x14ac:dyDescent="0.15"/>
    <row r="463" ht="15.75" customHeight="1" x14ac:dyDescent="0.15"/>
    <row r="464" ht="15.75" customHeight="1" x14ac:dyDescent="0.15"/>
    <row r="465" ht="15.75" customHeight="1" x14ac:dyDescent="0.15"/>
    <row r="466" ht="15.75" customHeight="1" x14ac:dyDescent="0.15"/>
    <row r="467" ht="15.75" customHeight="1" x14ac:dyDescent="0.15"/>
    <row r="468" ht="15.75" customHeight="1" x14ac:dyDescent="0.15"/>
    <row r="469" ht="15.75" customHeight="1" x14ac:dyDescent="0.15"/>
    <row r="470" ht="15.75" customHeight="1" x14ac:dyDescent="0.15"/>
    <row r="471" ht="15.75" customHeight="1" x14ac:dyDescent="0.15"/>
    <row r="472" ht="15.75" customHeight="1" x14ac:dyDescent="0.15"/>
    <row r="473" ht="15.75" customHeight="1" x14ac:dyDescent="0.15"/>
    <row r="474" ht="15.75" customHeight="1" x14ac:dyDescent="0.15"/>
    <row r="475" ht="15.75" customHeight="1" x14ac:dyDescent="0.15"/>
    <row r="476" ht="15.75" customHeight="1" x14ac:dyDescent="0.15"/>
    <row r="477" ht="15.75" customHeight="1" x14ac:dyDescent="0.15"/>
    <row r="478" ht="15.75" customHeight="1" x14ac:dyDescent="0.15"/>
    <row r="479" ht="15.75" customHeight="1" x14ac:dyDescent="0.15"/>
    <row r="480" ht="15.75" customHeight="1" x14ac:dyDescent="0.15"/>
    <row r="481" ht="15.75" customHeight="1" x14ac:dyDescent="0.15"/>
    <row r="482" ht="15.75" customHeight="1" x14ac:dyDescent="0.15"/>
    <row r="483" ht="15.75" customHeight="1" x14ac:dyDescent="0.15"/>
    <row r="484" ht="15.75" customHeight="1" x14ac:dyDescent="0.15"/>
    <row r="485" ht="15.75" customHeight="1" x14ac:dyDescent="0.15"/>
    <row r="486" ht="15.75" customHeight="1" x14ac:dyDescent="0.15"/>
    <row r="487" ht="15.75" customHeight="1" x14ac:dyDescent="0.15"/>
    <row r="488" ht="15.75" customHeight="1" x14ac:dyDescent="0.15"/>
    <row r="489" ht="15.75" customHeight="1" x14ac:dyDescent="0.15"/>
    <row r="490" ht="15.75" customHeight="1" x14ac:dyDescent="0.15"/>
    <row r="491" ht="15.75" customHeight="1" x14ac:dyDescent="0.15"/>
    <row r="492" ht="15.75" customHeight="1" x14ac:dyDescent="0.15"/>
    <row r="493" ht="15.75" customHeight="1" x14ac:dyDescent="0.15"/>
    <row r="494" ht="15.75" customHeight="1" x14ac:dyDescent="0.15"/>
    <row r="495" ht="15.75" customHeight="1" x14ac:dyDescent="0.15"/>
    <row r="496" ht="15.75" customHeight="1" x14ac:dyDescent="0.15"/>
    <row r="497" ht="15.75" customHeight="1" x14ac:dyDescent="0.15"/>
    <row r="498" ht="15.75" customHeight="1" x14ac:dyDescent="0.15"/>
    <row r="499" ht="15.75" customHeight="1" x14ac:dyDescent="0.15"/>
    <row r="500" ht="15.75" customHeight="1" x14ac:dyDescent="0.15"/>
    <row r="501" ht="15.75" customHeight="1" x14ac:dyDescent="0.15"/>
    <row r="502" ht="15.75" customHeight="1" x14ac:dyDescent="0.15"/>
    <row r="503" ht="15.75" customHeight="1" x14ac:dyDescent="0.15"/>
    <row r="504" ht="15.75" customHeight="1" x14ac:dyDescent="0.15"/>
    <row r="505" ht="15.75" customHeight="1" x14ac:dyDescent="0.15"/>
    <row r="506" ht="15.75" customHeight="1" x14ac:dyDescent="0.15"/>
    <row r="507" ht="15.75" customHeight="1" x14ac:dyDescent="0.15"/>
    <row r="508" ht="15.75" customHeight="1" x14ac:dyDescent="0.15"/>
    <row r="509" ht="15.75" customHeight="1" x14ac:dyDescent="0.15"/>
    <row r="510" ht="15.75" customHeight="1" x14ac:dyDescent="0.15"/>
    <row r="511" ht="15.75" customHeight="1" x14ac:dyDescent="0.15"/>
    <row r="512" ht="15.75" customHeight="1" x14ac:dyDescent="0.15"/>
    <row r="513" ht="15.75" customHeight="1" x14ac:dyDescent="0.15"/>
    <row r="514" ht="15.75" customHeight="1" x14ac:dyDescent="0.15"/>
    <row r="515" ht="15.75" customHeight="1" x14ac:dyDescent="0.15"/>
    <row r="516" ht="15.75" customHeight="1" x14ac:dyDescent="0.15"/>
    <row r="517" ht="15.75" customHeight="1" x14ac:dyDescent="0.15"/>
    <row r="518" ht="15.75" customHeight="1" x14ac:dyDescent="0.15"/>
    <row r="519" ht="15.75" customHeight="1" x14ac:dyDescent="0.15"/>
    <row r="520" ht="15.75" customHeight="1" x14ac:dyDescent="0.15"/>
    <row r="521" ht="15.75" customHeight="1" x14ac:dyDescent="0.15"/>
    <row r="522" ht="15.75" customHeight="1" x14ac:dyDescent="0.15"/>
    <row r="523" ht="15.75" customHeight="1" x14ac:dyDescent="0.15"/>
    <row r="524" ht="15.75" customHeight="1" x14ac:dyDescent="0.15"/>
    <row r="525" ht="15.75" customHeight="1" x14ac:dyDescent="0.15"/>
    <row r="526" ht="15.75" customHeight="1" x14ac:dyDescent="0.15"/>
    <row r="527" ht="15.75" customHeight="1" x14ac:dyDescent="0.15"/>
    <row r="528" ht="15.75" customHeight="1" x14ac:dyDescent="0.15"/>
    <row r="529" ht="15.75" customHeight="1" x14ac:dyDescent="0.15"/>
    <row r="530" ht="15.75" customHeight="1" x14ac:dyDescent="0.15"/>
    <row r="531" ht="15.75" customHeight="1" x14ac:dyDescent="0.15"/>
    <row r="532" ht="15.75" customHeight="1" x14ac:dyDescent="0.15"/>
    <row r="533" ht="15.75" customHeight="1" x14ac:dyDescent="0.15"/>
    <row r="534" ht="15.75" customHeight="1" x14ac:dyDescent="0.15"/>
    <row r="535" ht="15.75" customHeight="1" x14ac:dyDescent="0.15"/>
    <row r="536" ht="15.75" customHeight="1" x14ac:dyDescent="0.15"/>
    <row r="537" ht="15.75" customHeight="1" x14ac:dyDescent="0.15"/>
    <row r="538" ht="15.75" customHeight="1" x14ac:dyDescent="0.15"/>
    <row r="539" ht="15.75" customHeight="1" x14ac:dyDescent="0.15"/>
    <row r="540" ht="15.75" customHeight="1" x14ac:dyDescent="0.15"/>
    <row r="541" ht="15.75" customHeight="1" x14ac:dyDescent="0.15"/>
    <row r="542" ht="15.75" customHeight="1" x14ac:dyDescent="0.15"/>
    <row r="543" ht="15.75" customHeight="1" x14ac:dyDescent="0.15"/>
    <row r="544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  <row r="687" ht="15.75" customHeight="1" x14ac:dyDescent="0.15"/>
    <row r="688" ht="15.75" customHeight="1" x14ac:dyDescent="0.15"/>
    <row r="689" ht="15.75" customHeight="1" x14ac:dyDescent="0.15"/>
    <row r="690" ht="15.75" customHeight="1" x14ac:dyDescent="0.15"/>
    <row r="691" ht="15.75" customHeight="1" x14ac:dyDescent="0.15"/>
    <row r="692" ht="15.75" customHeight="1" x14ac:dyDescent="0.15"/>
    <row r="693" ht="15.75" customHeight="1" x14ac:dyDescent="0.15"/>
    <row r="694" ht="15.75" customHeight="1" x14ac:dyDescent="0.15"/>
    <row r="695" ht="15.75" customHeight="1" x14ac:dyDescent="0.15"/>
    <row r="696" ht="15.75" customHeight="1" x14ac:dyDescent="0.15"/>
    <row r="697" ht="15.75" customHeight="1" x14ac:dyDescent="0.15"/>
    <row r="698" ht="15.75" customHeight="1" x14ac:dyDescent="0.15"/>
    <row r="699" ht="15.75" customHeight="1" x14ac:dyDescent="0.15"/>
    <row r="700" ht="15.75" customHeight="1" x14ac:dyDescent="0.15"/>
    <row r="701" ht="15.75" customHeight="1" x14ac:dyDescent="0.15"/>
    <row r="702" ht="15.75" customHeight="1" x14ac:dyDescent="0.15"/>
    <row r="703" ht="15.75" customHeight="1" x14ac:dyDescent="0.15"/>
    <row r="704" ht="15.75" customHeight="1" x14ac:dyDescent="0.15"/>
    <row r="705" ht="15.75" customHeight="1" x14ac:dyDescent="0.15"/>
    <row r="706" ht="15.75" customHeight="1" x14ac:dyDescent="0.15"/>
    <row r="707" ht="15.75" customHeight="1" x14ac:dyDescent="0.15"/>
    <row r="708" ht="15.75" customHeight="1" x14ac:dyDescent="0.15"/>
    <row r="709" ht="15.75" customHeight="1" x14ac:dyDescent="0.15"/>
    <row r="710" ht="15.75" customHeight="1" x14ac:dyDescent="0.15"/>
    <row r="711" ht="15.75" customHeight="1" x14ac:dyDescent="0.15"/>
    <row r="712" ht="15.75" customHeight="1" x14ac:dyDescent="0.15"/>
    <row r="713" ht="15.75" customHeight="1" x14ac:dyDescent="0.15"/>
    <row r="714" ht="15.75" customHeight="1" x14ac:dyDescent="0.15"/>
    <row r="715" ht="15.75" customHeight="1" x14ac:dyDescent="0.15"/>
    <row r="716" ht="15.75" customHeight="1" x14ac:dyDescent="0.15"/>
    <row r="717" ht="15.75" customHeight="1" x14ac:dyDescent="0.15"/>
    <row r="718" ht="15.75" customHeight="1" x14ac:dyDescent="0.15"/>
    <row r="719" ht="15.75" customHeight="1" x14ac:dyDescent="0.15"/>
    <row r="720" ht="15.75" customHeight="1" x14ac:dyDescent="0.15"/>
    <row r="721" ht="15.75" customHeight="1" x14ac:dyDescent="0.15"/>
    <row r="722" ht="15.75" customHeight="1" x14ac:dyDescent="0.15"/>
    <row r="723" ht="15.75" customHeight="1" x14ac:dyDescent="0.15"/>
    <row r="724" ht="15.75" customHeight="1" x14ac:dyDescent="0.15"/>
    <row r="725" ht="15.75" customHeight="1" x14ac:dyDescent="0.15"/>
    <row r="726" ht="15.75" customHeight="1" x14ac:dyDescent="0.15"/>
    <row r="727" ht="15.75" customHeight="1" x14ac:dyDescent="0.15"/>
    <row r="728" ht="15.75" customHeight="1" x14ac:dyDescent="0.15"/>
    <row r="729" ht="15.75" customHeight="1" x14ac:dyDescent="0.15"/>
    <row r="730" ht="15.75" customHeight="1" x14ac:dyDescent="0.15"/>
    <row r="731" ht="15.75" customHeight="1" x14ac:dyDescent="0.15"/>
    <row r="732" ht="15.75" customHeight="1" x14ac:dyDescent="0.15"/>
    <row r="733" ht="15.75" customHeight="1" x14ac:dyDescent="0.15"/>
    <row r="734" ht="15.75" customHeight="1" x14ac:dyDescent="0.15"/>
    <row r="735" ht="15.75" customHeight="1" x14ac:dyDescent="0.15"/>
    <row r="736" ht="15.75" customHeight="1" x14ac:dyDescent="0.15"/>
    <row r="737" ht="15.75" customHeight="1" x14ac:dyDescent="0.15"/>
    <row r="738" ht="15.75" customHeight="1" x14ac:dyDescent="0.15"/>
    <row r="739" ht="15.75" customHeight="1" x14ac:dyDescent="0.15"/>
    <row r="740" ht="15.75" customHeight="1" x14ac:dyDescent="0.15"/>
    <row r="741" ht="15.75" customHeight="1" x14ac:dyDescent="0.15"/>
    <row r="742" ht="15.75" customHeight="1" x14ac:dyDescent="0.15"/>
    <row r="743" ht="15.75" customHeight="1" x14ac:dyDescent="0.15"/>
    <row r="744" ht="15.75" customHeight="1" x14ac:dyDescent="0.15"/>
    <row r="745" ht="15.75" customHeight="1" x14ac:dyDescent="0.15"/>
    <row r="746" ht="15.75" customHeight="1" x14ac:dyDescent="0.15"/>
    <row r="747" ht="15.75" customHeight="1" x14ac:dyDescent="0.15"/>
    <row r="748" ht="15.75" customHeight="1" x14ac:dyDescent="0.15"/>
    <row r="749" ht="15.75" customHeight="1" x14ac:dyDescent="0.15"/>
    <row r="750" ht="15.75" customHeight="1" x14ac:dyDescent="0.15"/>
    <row r="751" ht="15.75" customHeight="1" x14ac:dyDescent="0.15"/>
    <row r="752" ht="15.75" customHeight="1" x14ac:dyDescent="0.15"/>
    <row r="753" ht="15.75" customHeight="1" x14ac:dyDescent="0.15"/>
    <row r="754" ht="15.75" customHeight="1" x14ac:dyDescent="0.15"/>
    <row r="755" ht="15.75" customHeight="1" x14ac:dyDescent="0.15"/>
    <row r="756" ht="15.75" customHeight="1" x14ac:dyDescent="0.15"/>
    <row r="757" ht="15.75" customHeight="1" x14ac:dyDescent="0.15"/>
    <row r="758" ht="15.75" customHeight="1" x14ac:dyDescent="0.15"/>
    <row r="759" ht="15.75" customHeight="1" x14ac:dyDescent="0.15"/>
    <row r="760" ht="15.75" customHeight="1" x14ac:dyDescent="0.15"/>
    <row r="761" ht="15.75" customHeight="1" x14ac:dyDescent="0.15"/>
    <row r="762" ht="15.75" customHeight="1" x14ac:dyDescent="0.15"/>
    <row r="763" ht="15.75" customHeight="1" x14ac:dyDescent="0.15"/>
    <row r="764" ht="15.75" customHeight="1" x14ac:dyDescent="0.15"/>
    <row r="765" ht="15.75" customHeight="1" x14ac:dyDescent="0.15"/>
    <row r="766" ht="15.75" customHeight="1" x14ac:dyDescent="0.15"/>
    <row r="767" ht="15.75" customHeight="1" x14ac:dyDescent="0.15"/>
    <row r="768" ht="15.75" customHeight="1" x14ac:dyDescent="0.15"/>
    <row r="769" ht="15.75" customHeight="1" x14ac:dyDescent="0.15"/>
    <row r="770" ht="15.75" customHeight="1" x14ac:dyDescent="0.15"/>
    <row r="771" ht="15.75" customHeight="1" x14ac:dyDescent="0.15"/>
    <row r="772" ht="15.75" customHeight="1" x14ac:dyDescent="0.15"/>
    <row r="773" ht="15.75" customHeight="1" x14ac:dyDescent="0.15"/>
    <row r="774" ht="15.75" customHeight="1" x14ac:dyDescent="0.15"/>
    <row r="775" ht="15.75" customHeight="1" x14ac:dyDescent="0.15"/>
    <row r="776" ht="15.75" customHeight="1" x14ac:dyDescent="0.15"/>
    <row r="777" ht="15.75" customHeight="1" x14ac:dyDescent="0.15"/>
    <row r="778" ht="15.75" customHeight="1" x14ac:dyDescent="0.15"/>
    <row r="779" ht="15.75" customHeight="1" x14ac:dyDescent="0.15"/>
    <row r="780" ht="15.75" customHeight="1" x14ac:dyDescent="0.15"/>
    <row r="781" ht="15.75" customHeight="1" x14ac:dyDescent="0.15"/>
    <row r="782" ht="15.75" customHeight="1" x14ac:dyDescent="0.15"/>
    <row r="783" ht="15.75" customHeight="1" x14ac:dyDescent="0.15"/>
    <row r="784" ht="15.75" customHeight="1" x14ac:dyDescent="0.15"/>
    <row r="785" ht="15.75" customHeight="1" x14ac:dyDescent="0.15"/>
    <row r="786" ht="15.75" customHeight="1" x14ac:dyDescent="0.15"/>
    <row r="787" ht="15.75" customHeight="1" x14ac:dyDescent="0.15"/>
    <row r="788" ht="15.75" customHeight="1" x14ac:dyDescent="0.15"/>
    <row r="789" ht="15.75" customHeight="1" x14ac:dyDescent="0.15"/>
    <row r="790" ht="15.75" customHeight="1" x14ac:dyDescent="0.15"/>
    <row r="791" ht="15.75" customHeight="1" x14ac:dyDescent="0.15"/>
    <row r="792" ht="15.75" customHeight="1" x14ac:dyDescent="0.15"/>
    <row r="793" ht="15.75" customHeight="1" x14ac:dyDescent="0.15"/>
    <row r="794" ht="15.75" customHeight="1" x14ac:dyDescent="0.15"/>
    <row r="795" ht="15.75" customHeight="1" x14ac:dyDescent="0.15"/>
    <row r="796" ht="15.75" customHeight="1" x14ac:dyDescent="0.15"/>
    <row r="797" ht="15.75" customHeight="1" x14ac:dyDescent="0.15"/>
    <row r="798" ht="15.75" customHeight="1" x14ac:dyDescent="0.15"/>
    <row r="799" ht="15.75" customHeight="1" x14ac:dyDescent="0.15"/>
    <row r="800" ht="15.75" customHeight="1" x14ac:dyDescent="0.15"/>
    <row r="801" ht="15.75" customHeight="1" x14ac:dyDescent="0.15"/>
    <row r="802" ht="15.75" customHeight="1" x14ac:dyDescent="0.15"/>
    <row r="803" ht="15.75" customHeight="1" x14ac:dyDescent="0.15"/>
    <row r="804" ht="15.75" customHeight="1" x14ac:dyDescent="0.15"/>
    <row r="805" ht="15.75" customHeight="1" x14ac:dyDescent="0.15"/>
    <row r="806" ht="15.75" customHeight="1" x14ac:dyDescent="0.15"/>
    <row r="807" ht="15.75" customHeight="1" x14ac:dyDescent="0.15"/>
    <row r="808" ht="15.75" customHeight="1" x14ac:dyDescent="0.15"/>
    <row r="809" ht="15.75" customHeight="1" x14ac:dyDescent="0.15"/>
    <row r="810" ht="15.75" customHeight="1" x14ac:dyDescent="0.15"/>
    <row r="811" ht="15.75" customHeight="1" x14ac:dyDescent="0.15"/>
    <row r="812" ht="15.75" customHeight="1" x14ac:dyDescent="0.15"/>
    <row r="813" ht="15.75" customHeight="1" x14ac:dyDescent="0.15"/>
    <row r="814" ht="15.75" customHeight="1" x14ac:dyDescent="0.15"/>
    <row r="815" ht="15.75" customHeight="1" x14ac:dyDescent="0.15"/>
    <row r="816" ht="15.75" customHeight="1" x14ac:dyDescent="0.15"/>
    <row r="817" ht="15.75" customHeight="1" x14ac:dyDescent="0.15"/>
    <row r="818" ht="15.75" customHeight="1" x14ac:dyDescent="0.15"/>
    <row r="819" ht="15.75" customHeight="1" x14ac:dyDescent="0.15"/>
    <row r="820" ht="15.75" customHeight="1" x14ac:dyDescent="0.15"/>
    <row r="821" ht="15.75" customHeight="1" x14ac:dyDescent="0.15"/>
    <row r="822" ht="15.75" customHeight="1" x14ac:dyDescent="0.15"/>
    <row r="823" ht="15.75" customHeight="1" x14ac:dyDescent="0.15"/>
    <row r="824" ht="15.75" customHeight="1" x14ac:dyDescent="0.15"/>
    <row r="825" ht="15.75" customHeight="1" x14ac:dyDescent="0.15"/>
    <row r="826" ht="15.75" customHeight="1" x14ac:dyDescent="0.15"/>
    <row r="827" ht="15.75" customHeight="1" x14ac:dyDescent="0.15"/>
    <row r="828" ht="15.75" customHeight="1" x14ac:dyDescent="0.15"/>
    <row r="829" ht="15.75" customHeight="1" x14ac:dyDescent="0.15"/>
    <row r="830" ht="15.75" customHeight="1" x14ac:dyDescent="0.15"/>
    <row r="831" ht="15.75" customHeight="1" x14ac:dyDescent="0.15"/>
    <row r="832" ht="15.75" customHeight="1" x14ac:dyDescent="0.15"/>
    <row r="833" ht="15.75" customHeight="1" x14ac:dyDescent="0.15"/>
    <row r="834" ht="15.75" customHeight="1" x14ac:dyDescent="0.15"/>
    <row r="835" ht="15.75" customHeight="1" x14ac:dyDescent="0.15"/>
    <row r="836" ht="15.75" customHeight="1" x14ac:dyDescent="0.15"/>
    <row r="837" ht="15.75" customHeight="1" x14ac:dyDescent="0.15"/>
    <row r="838" ht="15.75" customHeight="1" x14ac:dyDescent="0.15"/>
    <row r="839" ht="15.75" customHeight="1" x14ac:dyDescent="0.15"/>
    <row r="840" ht="15.75" customHeight="1" x14ac:dyDescent="0.15"/>
    <row r="841" ht="15.75" customHeight="1" x14ac:dyDescent="0.15"/>
    <row r="842" ht="15.75" customHeight="1" x14ac:dyDescent="0.15"/>
    <row r="843" ht="15.75" customHeight="1" x14ac:dyDescent="0.15"/>
    <row r="844" ht="15.75" customHeight="1" x14ac:dyDescent="0.15"/>
    <row r="845" ht="15.75" customHeight="1" x14ac:dyDescent="0.15"/>
    <row r="846" ht="15.75" customHeight="1" x14ac:dyDescent="0.15"/>
    <row r="847" ht="15.75" customHeight="1" x14ac:dyDescent="0.15"/>
    <row r="848" ht="15.75" customHeight="1" x14ac:dyDescent="0.15"/>
    <row r="849" ht="15.75" customHeight="1" x14ac:dyDescent="0.15"/>
    <row r="850" ht="15.75" customHeight="1" x14ac:dyDescent="0.15"/>
    <row r="851" ht="15.75" customHeight="1" x14ac:dyDescent="0.15"/>
    <row r="852" ht="15.75" customHeight="1" x14ac:dyDescent="0.15"/>
    <row r="853" ht="15.75" customHeight="1" x14ac:dyDescent="0.15"/>
    <row r="854" ht="15.75" customHeight="1" x14ac:dyDescent="0.15"/>
    <row r="855" ht="15.75" customHeight="1" x14ac:dyDescent="0.15"/>
    <row r="856" ht="15.75" customHeight="1" x14ac:dyDescent="0.15"/>
    <row r="857" ht="15.75" customHeight="1" x14ac:dyDescent="0.15"/>
    <row r="858" ht="15.75" customHeight="1" x14ac:dyDescent="0.15"/>
    <row r="859" ht="15.75" customHeight="1" x14ac:dyDescent="0.15"/>
    <row r="860" ht="15.75" customHeight="1" x14ac:dyDescent="0.15"/>
    <row r="861" ht="15.75" customHeight="1" x14ac:dyDescent="0.15"/>
    <row r="862" ht="15.75" customHeight="1" x14ac:dyDescent="0.15"/>
    <row r="863" ht="15.75" customHeight="1" x14ac:dyDescent="0.15"/>
    <row r="864" ht="15.75" customHeight="1" x14ac:dyDescent="0.15"/>
    <row r="865" ht="15.75" customHeight="1" x14ac:dyDescent="0.15"/>
    <row r="866" ht="15.75" customHeight="1" x14ac:dyDescent="0.15"/>
    <row r="867" ht="15.75" customHeight="1" x14ac:dyDescent="0.15"/>
    <row r="868" ht="15.75" customHeight="1" x14ac:dyDescent="0.15"/>
    <row r="869" ht="15.75" customHeight="1" x14ac:dyDescent="0.15"/>
    <row r="870" ht="15.75" customHeight="1" x14ac:dyDescent="0.15"/>
    <row r="871" ht="15.75" customHeight="1" x14ac:dyDescent="0.15"/>
    <row r="872" ht="15.75" customHeight="1" x14ac:dyDescent="0.15"/>
    <row r="873" ht="15.75" customHeight="1" x14ac:dyDescent="0.15"/>
    <row r="874" ht="15.75" customHeight="1" x14ac:dyDescent="0.15"/>
    <row r="875" ht="15.75" customHeight="1" x14ac:dyDescent="0.15"/>
    <row r="876" ht="15.75" customHeight="1" x14ac:dyDescent="0.15"/>
    <row r="877" ht="15.75" customHeight="1" x14ac:dyDescent="0.15"/>
    <row r="878" ht="15.75" customHeight="1" x14ac:dyDescent="0.15"/>
    <row r="879" ht="15.75" customHeight="1" x14ac:dyDescent="0.15"/>
    <row r="880" ht="15.75" customHeight="1" x14ac:dyDescent="0.15"/>
    <row r="881" ht="15.75" customHeight="1" x14ac:dyDescent="0.15"/>
    <row r="882" ht="15.75" customHeight="1" x14ac:dyDescent="0.15"/>
    <row r="883" ht="15.75" customHeight="1" x14ac:dyDescent="0.15"/>
    <row r="884" ht="15.75" customHeight="1" x14ac:dyDescent="0.15"/>
    <row r="885" ht="15.75" customHeight="1" x14ac:dyDescent="0.15"/>
    <row r="886" ht="15.75" customHeight="1" x14ac:dyDescent="0.15"/>
    <row r="887" ht="15.75" customHeight="1" x14ac:dyDescent="0.15"/>
    <row r="888" ht="15.75" customHeight="1" x14ac:dyDescent="0.15"/>
    <row r="889" ht="15.75" customHeight="1" x14ac:dyDescent="0.15"/>
    <row r="890" ht="15.75" customHeight="1" x14ac:dyDescent="0.15"/>
    <row r="891" ht="15.75" customHeight="1" x14ac:dyDescent="0.15"/>
    <row r="892" ht="15.75" customHeight="1" x14ac:dyDescent="0.15"/>
    <row r="893" ht="15.75" customHeight="1" x14ac:dyDescent="0.15"/>
    <row r="894" ht="15.75" customHeight="1" x14ac:dyDescent="0.15"/>
    <row r="895" ht="15.75" customHeight="1" x14ac:dyDescent="0.15"/>
    <row r="896" ht="15.75" customHeight="1" x14ac:dyDescent="0.15"/>
    <row r="897" ht="15.75" customHeight="1" x14ac:dyDescent="0.15"/>
    <row r="898" ht="15.75" customHeight="1" x14ac:dyDescent="0.15"/>
    <row r="899" ht="15.75" customHeight="1" x14ac:dyDescent="0.15"/>
    <row r="900" ht="15.75" customHeight="1" x14ac:dyDescent="0.15"/>
    <row r="901" ht="15.75" customHeight="1" x14ac:dyDescent="0.15"/>
    <row r="902" ht="15.75" customHeight="1" x14ac:dyDescent="0.15"/>
    <row r="903" ht="15.75" customHeight="1" x14ac:dyDescent="0.15"/>
    <row r="904" ht="15.75" customHeight="1" x14ac:dyDescent="0.15"/>
    <row r="905" ht="15.75" customHeight="1" x14ac:dyDescent="0.15"/>
    <row r="906" ht="15.75" customHeight="1" x14ac:dyDescent="0.15"/>
    <row r="907" ht="15.75" customHeight="1" x14ac:dyDescent="0.15"/>
    <row r="908" ht="15.75" customHeight="1" x14ac:dyDescent="0.15"/>
    <row r="909" ht="15.75" customHeight="1" x14ac:dyDescent="0.15"/>
    <row r="910" ht="15.75" customHeight="1" x14ac:dyDescent="0.15"/>
    <row r="911" ht="15.75" customHeight="1" x14ac:dyDescent="0.15"/>
    <row r="912" ht="15.75" customHeight="1" x14ac:dyDescent="0.15"/>
    <row r="913" ht="15.75" customHeight="1" x14ac:dyDescent="0.15"/>
    <row r="914" ht="15.75" customHeight="1" x14ac:dyDescent="0.15"/>
    <row r="915" ht="15.75" customHeight="1" x14ac:dyDescent="0.15"/>
    <row r="916" ht="15.75" customHeight="1" x14ac:dyDescent="0.15"/>
    <row r="917" ht="15.75" customHeight="1" x14ac:dyDescent="0.15"/>
    <row r="918" ht="15.75" customHeight="1" x14ac:dyDescent="0.15"/>
    <row r="919" ht="15.75" customHeight="1" x14ac:dyDescent="0.15"/>
    <row r="920" ht="15.75" customHeight="1" x14ac:dyDescent="0.15"/>
    <row r="921" ht="15.75" customHeight="1" x14ac:dyDescent="0.15"/>
    <row r="922" ht="15.75" customHeight="1" x14ac:dyDescent="0.15"/>
    <row r="923" ht="15.75" customHeight="1" x14ac:dyDescent="0.15"/>
    <row r="924" ht="15.75" customHeight="1" x14ac:dyDescent="0.15"/>
    <row r="925" ht="15.75" customHeight="1" x14ac:dyDescent="0.15"/>
    <row r="926" ht="15.75" customHeight="1" x14ac:dyDescent="0.15"/>
    <row r="927" ht="15.75" customHeight="1" x14ac:dyDescent="0.15"/>
    <row r="928" ht="15.75" customHeight="1" x14ac:dyDescent="0.15"/>
    <row r="929" ht="15.75" customHeight="1" x14ac:dyDescent="0.15"/>
    <row r="930" ht="15.75" customHeight="1" x14ac:dyDescent="0.15"/>
    <row r="931" ht="15.75" customHeight="1" x14ac:dyDescent="0.15"/>
    <row r="932" ht="15.75" customHeight="1" x14ac:dyDescent="0.15"/>
    <row r="933" ht="15.75" customHeight="1" x14ac:dyDescent="0.15"/>
    <row r="934" ht="15.75" customHeight="1" x14ac:dyDescent="0.15"/>
    <row r="935" ht="15.75" customHeight="1" x14ac:dyDescent="0.15"/>
    <row r="936" ht="15.75" customHeight="1" x14ac:dyDescent="0.15"/>
    <row r="937" ht="15.75" customHeight="1" x14ac:dyDescent="0.15"/>
    <row r="938" ht="15.75" customHeight="1" x14ac:dyDescent="0.15"/>
    <row r="939" ht="15.75" customHeight="1" x14ac:dyDescent="0.15"/>
    <row r="940" ht="15.75" customHeight="1" x14ac:dyDescent="0.15"/>
    <row r="941" ht="15.75" customHeight="1" x14ac:dyDescent="0.15"/>
    <row r="942" ht="15.75" customHeight="1" x14ac:dyDescent="0.15"/>
    <row r="943" ht="15.75" customHeight="1" x14ac:dyDescent="0.15"/>
    <row r="944" ht="15.75" customHeight="1" x14ac:dyDescent="0.15"/>
    <row r="945" ht="15.75" customHeight="1" x14ac:dyDescent="0.15"/>
    <row r="946" ht="15.75" customHeight="1" x14ac:dyDescent="0.15"/>
    <row r="947" ht="15.75" customHeight="1" x14ac:dyDescent="0.15"/>
    <row r="948" ht="15.75" customHeight="1" x14ac:dyDescent="0.15"/>
    <row r="949" ht="15.75" customHeight="1" x14ac:dyDescent="0.15"/>
    <row r="950" ht="15.75" customHeight="1" x14ac:dyDescent="0.15"/>
    <row r="951" ht="15.75" customHeight="1" x14ac:dyDescent="0.15"/>
    <row r="952" ht="15.75" customHeight="1" x14ac:dyDescent="0.15"/>
    <row r="953" ht="15.75" customHeight="1" x14ac:dyDescent="0.15"/>
    <row r="954" ht="15.75" customHeight="1" x14ac:dyDescent="0.15"/>
    <row r="955" ht="15.75" customHeight="1" x14ac:dyDescent="0.15"/>
    <row r="956" ht="15.75" customHeight="1" x14ac:dyDescent="0.15"/>
    <row r="957" ht="15.75" customHeight="1" x14ac:dyDescent="0.15"/>
    <row r="958" ht="15.75" customHeight="1" x14ac:dyDescent="0.15"/>
    <row r="959" ht="15.75" customHeight="1" x14ac:dyDescent="0.15"/>
    <row r="960" ht="15.75" customHeight="1" x14ac:dyDescent="0.15"/>
    <row r="961" ht="15.75" customHeight="1" x14ac:dyDescent="0.15"/>
    <row r="962" ht="15.75" customHeight="1" x14ac:dyDescent="0.15"/>
    <row r="963" ht="15.75" customHeight="1" x14ac:dyDescent="0.15"/>
    <row r="964" ht="15.75" customHeight="1" x14ac:dyDescent="0.15"/>
    <row r="965" ht="15.75" customHeight="1" x14ac:dyDescent="0.15"/>
    <row r="966" ht="15.75" customHeight="1" x14ac:dyDescent="0.15"/>
    <row r="967" ht="15.75" customHeight="1" x14ac:dyDescent="0.15"/>
    <row r="968" ht="15.75" customHeight="1" x14ac:dyDescent="0.15"/>
    <row r="969" ht="15.75" customHeight="1" x14ac:dyDescent="0.15"/>
    <row r="970" ht="15.75" customHeight="1" x14ac:dyDescent="0.15"/>
    <row r="971" ht="15.75" customHeight="1" x14ac:dyDescent="0.15"/>
    <row r="972" ht="15.75" customHeight="1" x14ac:dyDescent="0.15"/>
    <row r="973" ht="15.75" customHeight="1" x14ac:dyDescent="0.15"/>
    <row r="974" ht="15.75" customHeight="1" x14ac:dyDescent="0.15"/>
    <row r="975" ht="15.75" customHeight="1" x14ac:dyDescent="0.15"/>
    <row r="976" ht="15.75" customHeight="1" x14ac:dyDescent="0.15"/>
    <row r="977" ht="15.75" customHeight="1" x14ac:dyDescent="0.15"/>
    <row r="978" ht="15.75" customHeight="1" x14ac:dyDescent="0.15"/>
    <row r="979" ht="15.75" customHeight="1" x14ac:dyDescent="0.15"/>
    <row r="980" ht="15.75" customHeight="1" x14ac:dyDescent="0.15"/>
    <row r="981" ht="15.75" customHeight="1" x14ac:dyDescent="0.15"/>
    <row r="982" ht="15.75" customHeight="1" x14ac:dyDescent="0.15"/>
    <row r="983" ht="15.75" customHeight="1" x14ac:dyDescent="0.15"/>
    <row r="984" ht="15.75" customHeight="1" x14ac:dyDescent="0.15"/>
    <row r="985" ht="15.75" customHeight="1" x14ac:dyDescent="0.15"/>
    <row r="986" ht="15.75" customHeight="1" x14ac:dyDescent="0.15"/>
    <row r="987" ht="15.75" customHeight="1" x14ac:dyDescent="0.15"/>
    <row r="988" ht="15.75" customHeight="1" x14ac:dyDescent="0.15"/>
    <row r="989" ht="15.75" customHeight="1" x14ac:dyDescent="0.15"/>
    <row r="990" ht="15.75" customHeight="1" x14ac:dyDescent="0.15"/>
    <row r="991" ht="15.75" customHeight="1" x14ac:dyDescent="0.15"/>
    <row r="992" ht="15.75" customHeight="1" x14ac:dyDescent="0.15"/>
    <row r="993" ht="15.75" customHeight="1" x14ac:dyDescent="0.15"/>
    <row r="994" ht="15.75" customHeight="1" x14ac:dyDescent="0.15"/>
    <row r="995" ht="15.75" customHeight="1" x14ac:dyDescent="0.15"/>
    <row r="996" ht="15.75" customHeight="1" x14ac:dyDescent="0.15"/>
    <row r="997" ht="15.75" customHeight="1" x14ac:dyDescent="0.15"/>
    <row r="998" ht="15.75" customHeight="1" x14ac:dyDescent="0.15"/>
    <row r="999" ht="15.75" customHeight="1" x14ac:dyDescent="0.15"/>
    <row r="1000" ht="15.75" customHeight="1" x14ac:dyDescent="0.15"/>
    <row r="1001" ht="15.75" customHeight="1" x14ac:dyDescent="0.15"/>
    <row r="1002" ht="15.75" customHeight="1" x14ac:dyDescent="0.15"/>
    <row r="1003" ht="15.75" customHeight="1" x14ac:dyDescent="0.15"/>
    <row r="1004" ht="15.75" customHeight="1" x14ac:dyDescent="0.15"/>
    <row r="1005" ht="15.75" customHeight="1" x14ac:dyDescent="0.15"/>
    <row r="1006" ht="15.75" customHeight="1" x14ac:dyDescent="0.15"/>
    <row r="1007" ht="15.75" customHeight="1" x14ac:dyDescent="0.15"/>
    <row r="1008" ht="15.75" customHeight="1" x14ac:dyDescent="0.15"/>
    <row r="1009" ht="15.75" customHeight="1" x14ac:dyDescent="0.15"/>
    <row r="1010" ht="15.75" customHeight="1" x14ac:dyDescent="0.15"/>
    <row r="1011" ht="15.75" customHeight="1" x14ac:dyDescent="0.15"/>
    <row r="1012" ht="15.75" customHeight="1" x14ac:dyDescent="0.15"/>
    <row r="1013" ht="15.75" customHeight="1" x14ac:dyDescent="0.15"/>
    <row r="1014" ht="15.75" customHeight="1" x14ac:dyDescent="0.15"/>
    <row r="1015" ht="15.75" customHeight="1" x14ac:dyDescent="0.15"/>
    <row r="1016" ht="15.75" customHeight="1" x14ac:dyDescent="0.15"/>
    <row r="1017" ht="15.75" customHeight="1" x14ac:dyDescent="0.15"/>
    <row r="1018" ht="15.75" customHeight="1" x14ac:dyDescent="0.15"/>
    <row r="1019" ht="15.75" customHeight="1" x14ac:dyDescent="0.15"/>
    <row r="1020" ht="15.75" customHeight="1" x14ac:dyDescent="0.15"/>
    <row r="1021" ht="15.75" customHeight="1" x14ac:dyDescent="0.15"/>
    <row r="1022" ht="15.75" customHeight="1" x14ac:dyDescent="0.15"/>
    <row r="1023" ht="15.75" customHeight="1" x14ac:dyDescent="0.15"/>
    <row r="1024" ht="15.75" customHeight="1" x14ac:dyDescent="0.15"/>
    <row r="1025" ht="15.75" customHeight="1" x14ac:dyDescent="0.15"/>
    <row r="1026" ht="15.75" customHeight="1" x14ac:dyDescent="0.15"/>
    <row r="1027" ht="15.75" customHeight="1" x14ac:dyDescent="0.15"/>
    <row r="1028" ht="15.75" customHeight="1" x14ac:dyDescent="0.15"/>
  </sheetData>
  <conditionalFormatting sqref="G211:P211">
    <cfRule type="cellIs" dxfId="1" priority="7" operator="equal">
      <formula>1</formula>
    </cfRule>
    <cfRule type="cellIs" dxfId="0" priority="8" operator="equal">
      <formula>0</formula>
    </cfRule>
  </conditionalFormatting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Jamil Bhimji</dc:creator>
  <cp:lastModifiedBy>Microsoft Office User</cp:lastModifiedBy>
  <dcterms:created xsi:type="dcterms:W3CDTF">2015-06-05T18:17:20Z</dcterms:created>
  <dcterms:modified xsi:type="dcterms:W3CDTF">2024-11-28T20:19:23Z</dcterms:modified>
</cp:coreProperties>
</file>